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emf" ContentType="image/x-emf"/>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05" windowWidth="19440" windowHeight="7740"/>
  </bookViews>
  <sheets>
    <sheet name="7PSourceSummary" sheetId="6" r:id="rId1"/>
    <sheet name="forRPM" sheetId="20" r:id="rId2"/>
    <sheet name="SC Retro" sheetId="11" r:id="rId3"/>
    <sheet name="Measure InputOutput_Out" sheetId="17" r:id="rId4"/>
    <sheet name="Measure InputOutput" sheetId="13" r:id="rId5"/>
    <sheet name="MMap" sheetId="12" r:id="rId6"/>
    <sheet name="Summary" sheetId="3" r:id="rId7"/>
    <sheet name="Market Data" sheetId="5" r:id="rId8"/>
    <sheet name="Savings" sheetId="1" r:id="rId9"/>
    <sheet name="Cost" sheetId="2" r:id="rId10"/>
    <sheet name="PNNL SVGs Data" sheetId="4" r:id="rId11"/>
    <sheet name="Savings Actual All" sheetId="7" r:id="rId12"/>
    <sheet name="Savings Weath Normalized All" sheetId="9" r:id="rId13"/>
    <sheet name="Codes" sheetId="15" r:id="rId14"/>
    <sheet name="Saturation" sheetId="16" r:id="rId15"/>
    <sheet name="6P Sizes" sheetId="10" r:id="rId16"/>
    <sheet name="Notes" sheetId="18" r:id="rId17"/>
    <sheet name="To Do 7P" sheetId="14" r:id="rId18"/>
    <sheet name="Sheet2" sheetId="22" r:id="rId19"/>
  </sheets>
  <externalReferences>
    <externalReference r:id="rId20"/>
    <externalReference r:id="rId21"/>
    <externalReference r:id="rId22"/>
  </externalReferences>
  <definedNames>
    <definedName name="BLDGTYP" localSheetId="2">[1]APPLIC!$C$9:$U$9</definedName>
    <definedName name="MeasureOutput" localSheetId="1">'Measure InputOutput_Out'!$A$4:$AM$21</definedName>
    <definedName name="Population">'[2]Pop Forecast (Base Case)'!$B$5:$BC$10</definedName>
    <definedName name="SAVE">'[3]2008 Savings'!$B$11:$AI$46</definedName>
    <definedName name="SCRETRO">'SC Retro'!$D$61:$Y$78</definedName>
    <definedName name="SCRetro_A">'SC Retro'!$A$61:$B$78</definedName>
    <definedName name="V_POST2013">[1]CHAR!$B$13:$T$52</definedName>
    <definedName name="V_PRE2013">[1]CHAR!$B$61:$T$100</definedName>
    <definedName name="VSTOCK">[1]Lookup!$C$4:$D$12</definedName>
  </definedNames>
  <calcPr calcId="125725"/>
</workbook>
</file>

<file path=xl/calcChain.xml><?xml version="1.0" encoding="utf-8"?>
<calcChain xmlns="http://schemas.openxmlformats.org/spreadsheetml/2006/main">
  <c r="D9" i="11"/>
  <c r="D8"/>
  <c r="AF40" i="22"/>
  <c r="AG40"/>
  <c r="AH40"/>
  <c r="AI40"/>
  <c r="AJ40"/>
  <c r="AK40"/>
  <c r="AL40"/>
  <c r="AM40"/>
  <c r="AN40"/>
  <c r="AO40"/>
  <c r="AP40"/>
  <c r="AQ40"/>
  <c r="AR40"/>
  <c r="AS40"/>
  <c r="AT40"/>
  <c r="AU40"/>
  <c r="AV40"/>
  <c r="AW40"/>
  <c r="AX40"/>
  <c r="AY40"/>
  <c r="AZ40"/>
  <c r="BA40"/>
  <c r="BB40"/>
  <c r="BC40"/>
  <c r="BD40"/>
  <c r="AF41"/>
  <c r="AG41"/>
  <c r="AH41"/>
  <c r="AI41"/>
  <c r="AJ41"/>
  <c r="AK41"/>
  <c r="AL41"/>
  <c r="AM41"/>
  <c r="AN41"/>
  <c r="AO41"/>
  <c r="AP41"/>
  <c r="AQ41"/>
  <c r="AR41"/>
  <c r="AS41"/>
  <c r="AT41"/>
  <c r="AU41"/>
  <c r="AV41"/>
  <c r="AW41"/>
  <c r="AX41"/>
  <c r="AY41"/>
  <c r="AZ41"/>
  <c r="BA41"/>
  <c r="BB41"/>
  <c r="BC41"/>
  <c r="BD41"/>
  <c r="AF42"/>
  <c r="AG42"/>
  <c r="AH42"/>
  <c r="AI42"/>
  <c r="AJ42"/>
  <c r="AK42"/>
  <c r="AL42"/>
  <c r="AM42"/>
  <c r="AN42"/>
  <c r="AO42"/>
  <c r="AP42"/>
  <c r="AQ42"/>
  <c r="AR42"/>
  <c r="AS42"/>
  <c r="AT42"/>
  <c r="AU42"/>
  <c r="AV42"/>
  <c r="AW42"/>
  <c r="AX42"/>
  <c r="AY42"/>
  <c r="AZ42"/>
  <c r="BA42"/>
  <c r="BB42"/>
  <c r="BC42"/>
  <c r="BD42"/>
  <c r="AF43"/>
  <c r="AG43"/>
  <c r="AH43"/>
  <c r="AI43"/>
  <c r="AJ43"/>
  <c r="AK43"/>
  <c r="AL43"/>
  <c r="AM43"/>
  <c r="AN43"/>
  <c r="AO43"/>
  <c r="AP43"/>
  <c r="AQ43"/>
  <c r="AR43"/>
  <c r="AS43"/>
  <c r="AT43"/>
  <c r="AU43"/>
  <c r="AV43"/>
  <c r="AW43"/>
  <c r="AX43"/>
  <c r="AY43"/>
  <c r="AZ43"/>
  <c r="BA43"/>
  <c r="BB43"/>
  <c r="BC43"/>
  <c r="BD43"/>
  <c r="AF44"/>
  <c r="AG44"/>
  <c r="AH44"/>
  <c r="AI44"/>
  <c r="AJ44"/>
  <c r="AK44"/>
  <c r="AL44"/>
  <c r="AM44"/>
  <c r="AN44"/>
  <c r="AO44"/>
  <c r="AP44"/>
  <c r="AQ44"/>
  <c r="AR44"/>
  <c r="AS44"/>
  <c r="AT44"/>
  <c r="AU44"/>
  <c r="AV44"/>
  <c r="AW44"/>
  <c r="AX44"/>
  <c r="AY44"/>
  <c r="AZ44"/>
  <c r="BA44"/>
  <c r="BB44"/>
  <c r="BC44"/>
  <c r="BD44"/>
  <c r="AF45"/>
  <c r="AG45"/>
  <c r="AH45"/>
  <c r="AI45"/>
  <c r="AJ45"/>
  <c r="AK45"/>
  <c r="AL45"/>
  <c r="AM45"/>
  <c r="AN45"/>
  <c r="AO45"/>
  <c r="AP45"/>
  <c r="AQ45"/>
  <c r="AR45"/>
  <c r="AS45"/>
  <c r="AT45"/>
  <c r="AU45"/>
  <c r="AV45"/>
  <c r="AW45"/>
  <c r="AX45"/>
  <c r="AY45"/>
  <c r="AZ45"/>
  <c r="BA45"/>
  <c r="BB45"/>
  <c r="BC45"/>
  <c r="BD45"/>
  <c r="AF46"/>
  <c r="AG46"/>
  <c r="AH46"/>
  <c r="AI46"/>
  <c r="AJ46"/>
  <c r="AK46"/>
  <c r="AL46"/>
  <c r="AM46"/>
  <c r="AN46"/>
  <c r="AO46"/>
  <c r="AP46"/>
  <c r="AQ46"/>
  <c r="AR46"/>
  <c r="AS46"/>
  <c r="AT46"/>
  <c r="AU46"/>
  <c r="AV46"/>
  <c r="AW46"/>
  <c r="AX46"/>
  <c r="AY46"/>
  <c r="AZ46"/>
  <c r="BA46"/>
  <c r="BB46"/>
  <c r="BC46"/>
  <c r="BD46"/>
  <c r="AF47"/>
  <c r="AG47"/>
  <c r="AH47"/>
  <c r="AI47"/>
  <c r="AJ47"/>
  <c r="AK47"/>
  <c r="AL47"/>
  <c r="AM47"/>
  <c r="AN47"/>
  <c r="AO47"/>
  <c r="AP47"/>
  <c r="AQ47"/>
  <c r="AR47"/>
  <c r="AS47"/>
  <c r="AT47"/>
  <c r="AU47"/>
  <c r="AV47"/>
  <c r="AW47"/>
  <c r="AX47"/>
  <c r="AY47"/>
  <c r="AZ47"/>
  <c r="BA47"/>
  <c r="BB47"/>
  <c r="BC47"/>
  <c r="BD47"/>
  <c r="AF48"/>
  <c r="AG48"/>
  <c r="AH48"/>
  <c r="AI48"/>
  <c r="AJ48"/>
  <c r="AK48"/>
  <c r="AL48"/>
  <c r="AM48"/>
  <c r="AN48"/>
  <c r="AO48"/>
  <c r="AP48"/>
  <c r="AQ48"/>
  <c r="AR48"/>
  <c r="AS48"/>
  <c r="AT48"/>
  <c r="AU48"/>
  <c r="AV48"/>
  <c r="AW48"/>
  <c r="AX48"/>
  <c r="AY48"/>
  <c r="AZ48"/>
  <c r="BA48"/>
  <c r="BB48"/>
  <c r="BC48"/>
  <c r="BD48"/>
  <c r="AF49"/>
  <c r="AG49"/>
  <c r="AH49"/>
  <c r="AI49"/>
  <c r="AJ49"/>
  <c r="AK49"/>
  <c r="AL49"/>
  <c r="AM49"/>
  <c r="AN49"/>
  <c r="AO49"/>
  <c r="AP49"/>
  <c r="AQ49"/>
  <c r="AR49"/>
  <c r="AS49"/>
  <c r="AT49"/>
  <c r="AU49"/>
  <c r="AV49"/>
  <c r="AW49"/>
  <c r="AX49"/>
  <c r="AY49"/>
  <c r="AZ49"/>
  <c r="BA49"/>
  <c r="BB49"/>
  <c r="BC49"/>
  <c r="BD49"/>
  <c r="AF50"/>
  <c r="AG50"/>
  <c r="AH50"/>
  <c r="AI50"/>
  <c r="AJ50"/>
  <c r="AK50"/>
  <c r="AL50"/>
  <c r="AM50"/>
  <c r="AN50"/>
  <c r="AO50"/>
  <c r="AP50"/>
  <c r="AQ50"/>
  <c r="AR50"/>
  <c r="AS50"/>
  <c r="AT50"/>
  <c r="AU50"/>
  <c r="AV50"/>
  <c r="AW50"/>
  <c r="AX50"/>
  <c r="AY50"/>
  <c r="AZ50"/>
  <c r="BA50"/>
  <c r="BB50"/>
  <c r="BC50"/>
  <c r="BD50"/>
  <c r="AF51"/>
  <c r="AG51"/>
  <c r="AH51"/>
  <c r="AI51"/>
  <c r="AJ51"/>
  <c r="AK51"/>
  <c r="AL51"/>
  <c r="AM51"/>
  <c r="AN51"/>
  <c r="AO51"/>
  <c r="AP51"/>
  <c r="AQ51"/>
  <c r="AR51"/>
  <c r="AS51"/>
  <c r="AT51"/>
  <c r="AU51"/>
  <c r="AV51"/>
  <c r="AW51"/>
  <c r="AX51"/>
  <c r="AY51"/>
  <c r="AZ51"/>
  <c r="BA51"/>
  <c r="BB51"/>
  <c r="BC51"/>
  <c r="BD51"/>
  <c r="AF52"/>
  <c r="AG52"/>
  <c r="AH52"/>
  <c r="AI52"/>
  <c r="AJ52"/>
  <c r="AK52"/>
  <c r="AL52"/>
  <c r="AM52"/>
  <c r="AN52"/>
  <c r="AO52"/>
  <c r="AP52"/>
  <c r="AQ52"/>
  <c r="AR52"/>
  <c r="AS52"/>
  <c r="AT52"/>
  <c r="AU52"/>
  <c r="AV52"/>
  <c r="AW52"/>
  <c r="AX52"/>
  <c r="AY52"/>
  <c r="AZ52"/>
  <c r="BA52"/>
  <c r="BB52"/>
  <c r="BC52"/>
  <c r="BD52"/>
  <c r="AF53"/>
  <c r="AG53"/>
  <c r="AH53"/>
  <c r="AI53"/>
  <c r="AJ53"/>
  <c r="AK53"/>
  <c r="AL53"/>
  <c r="AM53"/>
  <c r="AN53"/>
  <c r="AO53"/>
  <c r="AP53"/>
  <c r="AQ53"/>
  <c r="AR53"/>
  <c r="AS53"/>
  <c r="AT53"/>
  <c r="AU53"/>
  <c r="AV53"/>
  <c r="AW53"/>
  <c r="AX53"/>
  <c r="AY53"/>
  <c r="AZ53"/>
  <c r="BA53"/>
  <c r="BB53"/>
  <c r="BC53"/>
  <c r="BD53"/>
  <c r="AF54"/>
  <c r="AG54"/>
  <c r="AH54"/>
  <c r="AI54"/>
  <c r="AJ54"/>
  <c r="AK54"/>
  <c r="AL54"/>
  <c r="AM54"/>
  <c r="AN54"/>
  <c r="AO54"/>
  <c r="AP54"/>
  <c r="AQ54"/>
  <c r="AR54"/>
  <c r="AS54"/>
  <c r="AT54"/>
  <c r="AU54"/>
  <c r="AV54"/>
  <c r="AW54"/>
  <c r="AX54"/>
  <c r="AY54"/>
  <c r="AZ54"/>
  <c r="BA54"/>
  <c r="BB54"/>
  <c r="BC54"/>
  <c r="BD54"/>
  <c r="AF55"/>
  <c r="AG55"/>
  <c r="AH55"/>
  <c r="AI55"/>
  <c r="AJ55"/>
  <c r="AK55"/>
  <c r="AL55"/>
  <c r="AM55"/>
  <c r="AN55"/>
  <c r="AO55"/>
  <c r="AP55"/>
  <c r="AQ55"/>
  <c r="AR55"/>
  <c r="AS55"/>
  <c r="AT55"/>
  <c r="AU55"/>
  <c r="AV55"/>
  <c r="AW55"/>
  <c r="AX55"/>
  <c r="AY55"/>
  <c r="AZ55"/>
  <c r="BA55"/>
  <c r="BB55"/>
  <c r="BC55"/>
  <c r="BD55"/>
  <c r="AF56"/>
  <c r="AG56"/>
  <c r="AH56"/>
  <c r="AI56"/>
  <c r="AJ56"/>
  <c r="AK56"/>
  <c r="AL56"/>
  <c r="AM56"/>
  <c r="AN56"/>
  <c r="AO56"/>
  <c r="AP56"/>
  <c r="AQ56"/>
  <c r="AR56"/>
  <c r="AS56"/>
  <c r="AT56"/>
  <c r="AU56"/>
  <c r="AV56"/>
  <c r="AW56"/>
  <c r="AX56"/>
  <c r="AY56"/>
  <c r="AZ56"/>
  <c r="BA56"/>
  <c r="BB56"/>
  <c r="BC56"/>
  <c r="BD56"/>
  <c r="AF57"/>
  <c r="AG57"/>
  <c r="AH57"/>
  <c r="AI57"/>
  <c r="AJ57"/>
  <c r="AK57"/>
  <c r="AL57"/>
  <c r="AM57"/>
  <c r="AN57"/>
  <c r="AO57"/>
  <c r="AP57"/>
  <c r="AQ57"/>
  <c r="AR57"/>
  <c r="AS57"/>
  <c r="AT57"/>
  <c r="AU57"/>
  <c r="AV57"/>
  <c r="AW57"/>
  <c r="AX57"/>
  <c r="AY57"/>
  <c r="AZ57"/>
  <c r="BA57"/>
  <c r="BB57"/>
  <c r="BC57"/>
  <c r="BD57"/>
  <c r="AD20"/>
  <c r="AC20"/>
  <c r="AB20"/>
  <c r="AA20"/>
  <c r="Z20"/>
  <c r="Y20"/>
  <c r="X20"/>
  <c r="W20"/>
  <c r="V20"/>
  <c r="U20"/>
  <c r="T20"/>
  <c r="S20"/>
  <c r="R20"/>
  <c r="Q20"/>
  <c r="P20"/>
  <c r="O20"/>
  <c r="N20"/>
  <c r="M20"/>
  <c r="L20"/>
  <c r="K20"/>
  <c r="E36" i="5" l="1"/>
  <c r="D36"/>
  <c r="G13" i="2" l="1"/>
  <c r="AG7" i="5"/>
  <c r="AG8"/>
  <c r="AG9"/>
  <c r="AG10"/>
  <c r="AG11"/>
  <c r="AG12"/>
  <c r="AG13"/>
  <c r="AG14"/>
  <c r="AG15"/>
  <c r="AG16"/>
  <c r="AG17"/>
  <c r="AG6"/>
  <c r="AG21" s="1"/>
  <c r="AH21" s="1"/>
  <c r="L56" s="1"/>
  <c r="AA48"/>
  <c r="AB48"/>
  <c r="AC48"/>
  <c r="AA47"/>
  <c r="AB47"/>
  <c r="AC47"/>
  <c r="Z47"/>
  <c r="AA46"/>
  <c r="AB46"/>
  <c r="AC46"/>
  <c r="Z46"/>
  <c r="AC45"/>
  <c r="AB45"/>
  <c r="AA45"/>
  <c r="Z45"/>
  <c r="AH34"/>
  <c r="AH35"/>
  <c r="AH36"/>
  <c r="AH37"/>
  <c r="AH38"/>
  <c r="AH39"/>
  <c r="AH46" s="1"/>
  <c r="AH40"/>
  <c r="AH41"/>
  <c r="AH42"/>
  <c r="AH33"/>
  <c r="AG19" l="1"/>
  <c r="AH19" s="1"/>
  <c r="L54" s="1"/>
  <c r="AG20"/>
  <c r="AH20" s="1"/>
  <c r="L55" s="1"/>
  <c r="AH45"/>
  <c r="AH47"/>
  <c r="AH48"/>
  <c r="B4" i="20" l="1"/>
  <c r="B5"/>
  <c r="B6"/>
  <c r="B7"/>
  <c r="B8"/>
  <c r="B9"/>
  <c r="B10"/>
  <c r="B11"/>
  <c r="B12"/>
  <c r="B13"/>
  <c r="B14"/>
  <c r="B15"/>
  <c r="B16"/>
  <c r="B17"/>
  <c r="B18"/>
  <c r="B19"/>
  <c r="B20"/>
  <c r="B3"/>
  <c r="C7"/>
  <c r="C8"/>
  <c r="C9"/>
  <c r="C10"/>
  <c r="C11"/>
  <c r="C12"/>
  <c r="C13"/>
  <c r="C14"/>
  <c r="C15"/>
  <c r="C16"/>
  <c r="C17"/>
  <c r="C18"/>
  <c r="C19"/>
  <c r="C20"/>
  <c r="C3"/>
  <c r="A3" s="1"/>
  <c r="C4"/>
  <c r="C5"/>
  <c r="C6"/>
  <c r="A10"/>
  <c r="AD2"/>
  <c r="AC2"/>
  <c r="AB2"/>
  <c r="AA2"/>
  <c r="Z2"/>
  <c r="Y2"/>
  <c r="X2"/>
  <c r="W2"/>
  <c r="V2"/>
  <c r="U2"/>
  <c r="T2"/>
  <c r="S2"/>
  <c r="R2"/>
  <c r="Q2"/>
  <c r="P2"/>
  <c r="O2"/>
  <c r="N2"/>
  <c r="M2"/>
  <c r="L2"/>
  <c r="K2"/>
  <c r="A18" l="1"/>
  <c r="A14"/>
  <c r="A4"/>
  <c r="A13"/>
  <c r="A9"/>
  <c r="A19"/>
  <c r="A15"/>
  <c r="A20"/>
  <c r="A8"/>
  <c r="A11"/>
  <c r="A17"/>
  <c r="A5"/>
  <c r="A16"/>
  <c r="A12"/>
  <c r="A7"/>
  <c r="A6"/>
  <c r="W6" i="18" l="1"/>
  <c r="V6"/>
  <c r="W5"/>
  <c r="V5"/>
  <c r="AG46" i="5"/>
  <c r="AI46" s="1"/>
  <c r="L58" s="1"/>
  <c r="AG48"/>
  <c r="AI48" s="1"/>
  <c r="L60" s="1"/>
  <c r="AG47"/>
  <c r="AI47" s="1"/>
  <c r="L59" s="1"/>
  <c r="AG45"/>
  <c r="AI45" s="1"/>
  <c r="L57" s="1"/>
  <c r="Z48"/>
  <c r="AI21"/>
  <c r="AI20"/>
  <c r="AI19"/>
  <c r="AA19"/>
  <c r="AB19"/>
  <c r="AC19"/>
  <c r="AA20"/>
  <c r="AB20"/>
  <c r="AC20"/>
  <c r="AA21"/>
  <c r="AB21"/>
  <c r="AC21"/>
  <c r="Z20"/>
  <c r="Z21"/>
  <c r="Z19"/>
  <c r="AB22"/>
  <c r="AA22" l="1"/>
  <c r="AI22"/>
  <c r="AG49"/>
  <c r="Z22"/>
  <c r="AC22"/>
  <c r="B11" i="14" l="1"/>
  <c r="B8"/>
  <c r="B9" s="1"/>
  <c r="B10" s="1"/>
  <c r="E104" i="5" l="1"/>
  <c r="S6" i="18" l="1"/>
  <c r="S5"/>
  <c r="I70" i="1"/>
  <c r="I71"/>
  <c r="I72"/>
  <c r="I69"/>
  <c r="O6" i="18"/>
  <c r="O5"/>
  <c r="K41" i="5"/>
  <c r="K42"/>
  <c r="K43"/>
  <c r="K44"/>
  <c r="K45"/>
  <c r="K46"/>
  <c r="K47"/>
  <c r="K48"/>
  <c r="K49"/>
  <c r="K40"/>
  <c r="D4" i="3"/>
  <c r="H4" s="1"/>
  <c r="K50" i="5" l="1"/>
  <c r="F9"/>
  <c r="F10"/>
  <c r="F11"/>
  <c r="F12"/>
  <c r="F13"/>
  <c r="F14"/>
  <c r="F15"/>
  <c r="F16"/>
  <c r="F17"/>
  <c r="F18"/>
  <c r="F19"/>
  <c r="F20"/>
  <c r="F21"/>
  <c r="F22"/>
  <c r="F23"/>
  <c r="F24"/>
  <c r="F25"/>
  <c r="F26"/>
  <c r="F27"/>
  <c r="F28"/>
  <c r="F29"/>
  <c r="F30"/>
  <c r="F31"/>
  <c r="F32"/>
  <c r="F33"/>
  <c r="F34"/>
  <c r="F35"/>
  <c r="F36"/>
  <c r="F7"/>
  <c r="F8"/>
  <c r="F6"/>
  <c r="C15" i="6"/>
  <c r="C8" i="11" l="1"/>
  <c r="A9" s="1"/>
  <c r="C37"/>
  <c r="C62" s="1"/>
  <c r="C38"/>
  <c r="C63" s="1"/>
  <c r="C39"/>
  <c r="C64" s="1"/>
  <c r="C40"/>
  <c r="C65" s="1"/>
  <c r="C41"/>
  <c r="C66" s="1"/>
  <c r="C42"/>
  <c r="C67" s="1"/>
  <c r="C43"/>
  <c r="C68" s="1"/>
  <c r="C44"/>
  <c r="C69" s="1"/>
  <c r="C45"/>
  <c r="C70" s="1"/>
  <c r="C46"/>
  <c r="C71" s="1"/>
  <c r="C47"/>
  <c r="C72" s="1"/>
  <c r="C48"/>
  <c r="C73" s="1"/>
  <c r="C49"/>
  <c r="C74" s="1"/>
  <c r="C50"/>
  <c r="C75" s="1"/>
  <c r="C51"/>
  <c r="C76" s="1"/>
  <c r="C52"/>
  <c r="C77" s="1"/>
  <c r="C53"/>
  <c r="C78" s="1"/>
  <c r="C36"/>
  <c r="C61" s="1"/>
  <c r="E4" i="20" l="1"/>
  <c r="E8"/>
  <c r="E12"/>
  <c r="E16"/>
  <c r="E20"/>
  <c r="E3"/>
  <c r="E7"/>
  <c r="E11"/>
  <c r="E15"/>
  <c r="E19"/>
  <c r="E6"/>
  <c r="E10"/>
  <c r="E14"/>
  <c r="E18"/>
  <c r="E5"/>
  <c r="E9"/>
  <c r="E13"/>
  <c r="E17"/>
  <c r="I7" i="5"/>
  <c r="I8"/>
  <c r="I9"/>
  <c r="I10"/>
  <c r="I11"/>
  <c r="I12"/>
  <c r="I13"/>
  <c r="I14"/>
  <c r="I15"/>
  <c r="I16"/>
  <c r="I17"/>
  <c r="I18"/>
  <c r="I19"/>
  <c r="I20"/>
  <c r="I21"/>
  <c r="I22"/>
  <c r="I23"/>
  <c r="I24"/>
  <c r="I25"/>
  <c r="I26"/>
  <c r="I27"/>
  <c r="I28"/>
  <c r="I29"/>
  <c r="I30"/>
  <c r="I31"/>
  <c r="I32"/>
  <c r="I33"/>
  <c r="I34"/>
  <c r="I35"/>
  <c r="I6"/>
  <c r="C9" i="11" l="1"/>
  <c r="E93" i="5" l="1"/>
  <c r="D93"/>
  <c r="C93"/>
  <c r="B93"/>
  <c r="E92"/>
  <c r="D92"/>
  <c r="C92"/>
  <c r="D20" i="3" s="1"/>
  <c r="B92" i="5"/>
  <c r="C20" i="3" s="1"/>
  <c r="I20" s="1"/>
  <c r="I29" s="1"/>
  <c r="E91" i="5"/>
  <c r="D91"/>
  <c r="C91"/>
  <c r="D21" i="3" s="1"/>
  <c r="B91" i="5"/>
  <c r="C21" i="3" s="1"/>
  <c r="E90" i="5"/>
  <c r="D90"/>
  <c r="C90"/>
  <c r="D19" i="3" s="1"/>
  <c r="B90" i="5"/>
  <c r="C19" i="3" s="1"/>
  <c r="E73" i="5"/>
  <c r="D73"/>
  <c r="C73"/>
  <c r="B73"/>
  <c r="E72"/>
  <c r="D72"/>
  <c r="C72"/>
  <c r="C71" s="1"/>
  <c r="B72"/>
  <c r="D71"/>
  <c r="B71"/>
  <c r="E70"/>
  <c r="D70"/>
  <c r="C70"/>
  <c r="B70"/>
  <c r="E69"/>
  <c r="D69"/>
  <c r="C69"/>
  <c r="B69"/>
  <c r="B68" s="1"/>
  <c r="E68"/>
  <c r="D68"/>
  <c r="C68"/>
  <c r="E67"/>
  <c r="D67"/>
  <c r="C67"/>
  <c r="B67"/>
  <c r="E66"/>
  <c r="D66"/>
  <c r="C66"/>
  <c r="B66"/>
  <c r="B65" s="1"/>
  <c r="E65"/>
  <c r="D65"/>
  <c r="C65"/>
  <c r="D74" l="1"/>
  <c r="E71"/>
  <c r="E74" s="1"/>
  <c r="C74"/>
  <c r="B74"/>
  <c r="C30" i="3"/>
  <c r="I21"/>
  <c r="I30" s="1"/>
  <c r="D29"/>
  <c r="L20"/>
  <c r="C29"/>
  <c r="C28"/>
  <c r="I19"/>
  <c r="I28" s="1"/>
  <c r="D30"/>
  <c r="L21"/>
  <c r="D28"/>
  <c r="L19"/>
  <c r="D22"/>
  <c r="C22"/>
  <c r="N19" i="15"/>
  <c r="K19"/>
  <c r="J19"/>
  <c r="H19"/>
  <c r="M19" s="1"/>
  <c r="G19"/>
  <c r="K18"/>
  <c r="N18" s="1"/>
  <c r="J18"/>
  <c r="H18"/>
  <c r="M18" s="1"/>
  <c r="G18"/>
  <c r="N17"/>
  <c r="K17"/>
  <c r="J17"/>
  <c r="H17"/>
  <c r="M17" s="1"/>
  <c r="G17"/>
  <c r="C31" i="3" l="1"/>
  <c r="D31"/>
  <c r="I22"/>
  <c r="I31" s="1"/>
  <c r="B5" i="14"/>
  <c r="B6" s="1"/>
  <c r="B7" s="1"/>
  <c r="B4"/>
  <c r="B2" i="13"/>
  <c r="G15" i="2" l="1"/>
  <c r="G7"/>
  <c r="G14"/>
  <c r="A7" i="5" l="1"/>
  <c r="A8"/>
  <c r="A9"/>
  <c r="A10"/>
  <c r="A11"/>
  <c r="A12"/>
  <c r="A13"/>
  <c r="A14"/>
  <c r="A15"/>
  <c r="A16"/>
  <c r="A17"/>
  <c r="A18"/>
  <c r="A19"/>
  <c r="A20"/>
  <c r="A21"/>
  <c r="A22"/>
  <c r="A23"/>
  <c r="A24"/>
  <c r="A25"/>
  <c r="A26"/>
  <c r="A27"/>
  <c r="A28"/>
  <c r="A29"/>
  <c r="A30"/>
  <c r="A31"/>
  <c r="A32"/>
  <c r="A33"/>
  <c r="A34"/>
  <c r="A35"/>
  <c r="A36"/>
  <c r="A6"/>
  <c r="H7"/>
  <c r="H8" s="1"/>
  <c r="H9" s="1"/>
  <c r="H10" s="1"/>
  <c r="H11" s="1"/>
  <c r="H12" s="1"/>
  <c r="H13" s="1"/>
  <c r="H14" s="1"/>
  <c r="H15" s="1"/>
  <c r="J8"/>
  <c r="J7"/>
  <c r="J6"/>
  <c r="K6" l="1"/>
  <c r="O6" s="1"/>
  <c r="J10"/>
  <c r="K8"/>
  <c r="O8" s="1"/>
  <c r="J11"/>
  <c r="L8"/>
  <c r="J9"/>
  <c r="K9" s="1"/>
  <c r="O9" s="1"/>
  <c r="L6"/>
  <c r="L7"/>
  <c r="K7"/>
  <c r="O7" s="1"/>
  <c r="H16"/>
  <c r="H17" s="1"/>
  <c r="H18" s="1"/>
  <c r="H19" s="1"/>
  <c r="H20" s="1"/>
  <c r="H21" s="1"/>
  <c r="H22" s="1"/>
  <c r="H23" s="1"/>
  <c r="H24" s="1"/>
  <c r="H25" s="1"/>
  <c r="H26" s="1"/>
  <c r="H27" s="1"/>
  <c r="H28" s="1"/>
  <c r="H29" s="1"/>
  <c r="H30" s="1"/>
  <c r="H31" s="1"/>
  <c r="H32" s="1"/>
  <c r="H33" s="1"/>
  <c r="H34" s="1"/>
  <c r="H35" s="1"/>
  <c r="M40" l="1"/>
  <c r="N40" s="1"/>
  <c r="L70" s="1"/>
  <c r="L9"/>
  <c r="J13"/>
  <c r="K13" s="1"/>
  <c r="O13" s="1"/>
  <c r="L10"/>
  <c r="J14"/>
  <c r="K14" s="1"/>
  <c r="O14" s="1"/>
  <c r="J12"/>
  <c r="K10"/>
  <c r="O10" s="1"/>
  <c r="K11"/>
  <c r="O11" s="1"/>
  <c r="L11"/>
  <c r="L13"/>
  <c r="L14" l="1"/>
  <c r="J15"/>
  <c r="L12"/>
  <c r="K12"/>
  <c r="O12" s="1"/>
  <c r="M42" s="1"/>
  <c r="N42" s="1"/>
  <c r="L67" s="1"/>
  <c r="J16"/>
  <c r="J17"/>
  <c r="I27" i="12"/>
  <c r="E24" i="13" s="1"/>
  <c r="I45" i="12"/>
  <c r="M41" i="5"/>
  <c r="N41" s="1"/>
  <c r="J19" l="1"/>
  <c r="K16"/>
  <c r="O16" s="1"/>
  <c r="L16"/>
  <c r="J18"/>
  <c r="L15"/>
  <c r="K15"/>
  <c r="O15" s="1"/>
  <c r="J20"/>
  <c r="K17"/>
  <c r="O17" s="1"/>
  <c r="L17"/>
  <c r="L68"/>
  <c r="I24" i="12"/>
  <c r="E21" i="13" s="1"/>
  <c r="I42" i="12"/>
  <c r="L65" i="5"/>
  <c r="L64"/>
  <c r="M43" l="1"/>
  <c r="N43" s="1"/>
  <c r="J23"/>
  <c r="L20"/>
  <c r="K20"/>
  <c r="O20" s="1"/>
  <c r="J21"/>
  <c r="K18"/>
  <c r="L18"/>
  <c r="J22"/>
  <c r="L19"/>
  <c r="K19"/>
  <c r="O19" s="1"/>
  <c r="I40" i="12"/>
  <c r="I22"/>
  <c r="E19" i="13" s="1"/>
  <c r="I39" i="12"/>
  <c r="I21"/>
  <c r="E18" i="13" s="1"/>
  <c r="I43" i="12"/>
  <c r="I25"/>
  <c r="E22" i="13" s="1"/>
  <c r="I11" i="12" l="1"/>
  <c r="J25" i="5"/>
  <c r="K22"/>
  <c r="O22" s="1"/>
  <c r="L22"/>
  <c r="J26"/>
  <c r="L23"/>
  <c r="K23"/>
  <c r="O23" s="1"/>
  <c r="O18"/>
  <c r="M44" s="1"/>
  <c r="N44" s="1"/>
  <c r="L71" s="1"/>
  <c r="J24"/>
  <c r="L21"/>
  <c r="K21"/>
  <c r="O21" s="1"/>
  <c r="C46" i="12"/>
  <c r="A46" s="1"/>
  <c r="E8" i="13" l="1"/>
  <c r="I29" i="12"/>
  <c r="I30"/>
  <c r="I12"/>
  <c r="E9" i="13" s="1"/>
  <c r="I13" i="12"/>
  <c r="E10" i="13" s="1"/>
  <c r="I31" i="12"/>
  <c r="M45" i="5"/>
  <c r="N45" s="1"/>
  <c r="L69" s="1"/>
  <c r="I46" i="12"/>
  <c r="I28"/>
  <c r="E25" i="13" s="1"/>
  <c r="J27" i="5"/>
  <c r="L24"/>
  <c r="K24"/>
  <c r="O24" s="1"/>
  <c r="J29"/>
  <c r="K26"/>
  <c r="O26" s="1"/>
  <c r="L26"/>
  <c r="J28"/>
  <c r="L25"/>
  <c r="K25"/>
  <c r="O25" s="1"/>
  <c r="D46" i="12"/>
  <c r="C45"/>
  <c r="A45" s="1"/>
  <c r="I26" l="1"/>
  <c r="E23" i="13" s="1"/>
  <c r="I44" i="12"/>
  <c r="J31" i="5"/>
  <c r="K28"/>
  <c r="O28" s="1"/>
  <c r="L28"/>
  <c r="J32"/>
  <c r="L29"/>
  <c r="K29"/>
  <c r="O29" s="1"/>
  <c r="J30"/>
  <c r="K27"/>
  <c r="O27" s="1"/>
  <c r="L27"/>
  <c r="M46"/>
  <c r="N46" s="1"/>
  <c r="L66" s="1"/>
  <c r="D45" i="12"/>
  <c r="C44"/>
  <c r="A44" s="1"/>
  <c r="M47" i="5" l="1"/>
  <c r="N47" s="1"/>
  <c r="I41" i="12"/>
  <c r="I23"/>
  <c r="E20" i="13" s="1"/>
  <c r="J33" i="5"/>
  <c r="L30"/>
  <c r="K30"/>
  <c r="O30" s="1"/>
  <c r="J35"/>
  <c r="L32"/>
  <c r="K32"/>
  <c r="O32" s="1"/>
  <c r="J34"/>
  <c r="K31"/>
  <c r="O31" s="1"/>
  <c r="L31"/>
  <c r="D44" i="12"/>
  <c r="C43"/>
  <c r="I33" l="1"/>
  <c r="I32"/>
  <c r="I34"/>
  <c r="I16"/>
  <c r="E13" i="13" s="1"/>
  <c r="I17" i="12"/>
  <c r="E14" i="13" s="1"/>
  <c r="I35" i="12"/>
  <c r="L34" i="5"/>
  <c r="K34"/>
  <c r="O34" s="1"/>
  <c r="K35"/>
  <c r="L35"/>
  <c r="K33"/>
  <c r="O33" s="1"/>
  <c r="L33"/>
  <c r="I15" i="12"/>
  <c r="E12" i="13" s="1"/>
  <c r="M48" i="5"/>
  <c r="N48" s="1"/>
  <c r="L61" s="1"/>
  <c r="D43" i="12"/>
  <c r="A43"/>
  <c r="C42"/>
  <c r="I14" l="1"/>
  <c r="E11" i="13" s="1"/>
  <c r="I18" i="12"/>
  <c r="E15" i="13" s="1"/>
  <c r="L62" i="5"/>
  <c r="I36" i="12"/>
  <c r="O35" i="5"/>
  <c r="M49" s="1"/>
  <c r="N49" s="1"/>
  <c r="L63" s="1"/>
  <c r="K36"/>
  <c r="L36"/>
  <c r="D42" i="12"/>
  <c r="A42"/>
  <c r="C41"/>
  <c r="A41" s="1"/>
  <c r="I20" l="1"/>
  <c r="E17" i="13" s="1"/>
  <c r="I38" i="12"/>
  <c r="I19"/>
  <c r="E16" i="13" s="1"/>
  <c r="I37" i="12"/>
  <c r="D41"/>
  <c r="C40"/>
  <c r="A40" s="1"/>
  <c r="D40" l="1"/>
  <c r="C39"/>
  <c r="D39" l="1"/>
  <c r="A39"/>
  <c r="C38"/>
  <c r="D38" l="1"/>
  <c r="A38"/>
  <c r="C37"/>
  <c r="D37" l="1"/>
  <c r="A37"/>
  <c r="C36"/>
  <c r="A36" s="1"/>
  <c r="D36" l="1"/>
  <c r="C35"/>
  <c r="D35" l="1"/>
  <c r="A35"/>
  <c r="C34"/>
  <c r="A34" s="1"/>
  <c r="D34" l="1"/>
  <c r="C33"/>
  <c r="D33" l="1"/>
  <c r="A33"/>
  <c r="C32"/>
  <c r="A32" s="1"/>
  <c r="D32" l="1"/>
  <c r="C31"/>
  <c r="A31" s="1"/>
  <c r="D31" l="1"/>
  <c r="C30"/>
  <c r="A30" s="1"/>
  <c r="D30" l="1"/>
  <c r="C29"/>
  <c r="A29" s="1"/>
  <c r="D29" l="1"/>
  <c r="C28"/>
  <c r="A28" l="1"/>
  <c r="D28"/>
  <c r="A25" i="13" s="1"/>
  <c r="B25" s="1"/>
  <c r="C27" i="12"/>
  <c r="A27" s="1"/>
  <c r="D27" l="1"/>
  <c r="A24" i="13" s="1"/>
  <c r="B24" s="1"/>
  <c r="C26" i="12"/>
  <c r="D26" l="1"/>
  <c r="A23" i="13" s="1"/>
  <c r="B23" s="1"/>
  <c r="A26" i="12"/>
  <c r="C25"/>
  <c r="A25" l="1"/>
  <c r="D25"/>
  <c r="A22" i="13" s="1"/>
  <c r="B22" s="1"/>
  <c r="C24" i="12"/>
  <c r="A24" s="1"/>
  <c r="D24" l="1"/>
  <c r="A21" i="13" s="1"/>
  <c r="B21" s="1"/>
  <c r="C23" i="12"/>
  <c r="D23" l="1"/>
  <c r="A20" i="13" s="1"/>
  <c r="B20" s="1"/>
  <c r="A23" i="12"/>
  <c r="C22"/>
  <c r="A22" s="1"/>
  <c r="D22" l="1"/>
  <c r="A19" i="13" s="1"/>
  <c r="B19" s="1"/>
  <c r="C21" i="12"/>
  <c r="A21" s="1"/>
  <c r="D21" l="1"/>
  <c r="A18" i="13" s="1"/>
  <c r="B18" s="1"/>
  <c r="C20" i="12"/>
  <c r="A20" s="1"/>
  <c r="D20" l="1"/>
  <c r="A17" i="13" s="1"/>
  <c r="B17" s="1"/>
  <c r="C19" i="12"/>
  <c r="A19" s="1"/>
  <c r="D19" l="1"/>
  <c r="A16" i="13" s="1"/>
  <c r="B16" s="1"/>
  <c r="C18" i="12"/>
  <c r="A18" s="1"/>
  <c r="D18" l="1"/>
  <c r="A15" i="13" s="1"/>
  <c r="B15" s="1"/>
  <c r="C17" i="12"/>
  <c r="D17" l="1"/>
  <c r="A14" i="13" s="1"/>
  <c r="B14" s="1"/>
  <c r="A17" i="12"/>
  <c r="C16"/>
  <c r="A16" s="1"/>
  <c r="D16" l="1"/>
  <c r="A13" i="13" s="1"/>
  <c r="B13" s="1"/>
  <c r="C15" i="12"/>
  <c r="A15" l="1"/>
  <c r="D15"/>
  <c r="A12" i="13" s="1"/>
  <c r="B12" s="1"/>
  <c r="C14" i="12"/>
  <c r="A14" s="1"/>
  <c r="D14" l="1"/>
  <c r="A11" i="13" s="1"/>
  <c r="B11" s="1"/>
  <c r="C13" i="12"/>
  <c r="A13" s="1"/>
  <c r="D13" l="1"/>
  <c r="A10" i="13" s="1"/>
  <c r="B10" s="1"/>
  <c r="C12" i="12"/>
  <c r="A12" s="1"/>
  <c r="D12" l="1"/>
  <c r="A9" i="13" s="1"/>
  <c r="B9" s="1"/>
  <c r="C11" i="12"/>
  <c r="A11" l="1"/>
  <c r="D11"/>
  <c r="A8" i="13" s="1"/>
  <c r="B8" s="1"/>
  <c r="Y122" i="11" l="1"/>
  <c r="Y121"/>
  <c r="F10"/>
  <c r="G10" s="1"/>
  <c r="E11"/>
  <c r="E34" s="1"/>
  <c r="E12" l="1"/>
  <c r="E85"/>
  <c r="E60"/>
  <c r="F11"/>
  <c r="F34" s="1"/>
  <c r="H10"/>
  <c r="C35"/>
  <c r="D35" s="1"/>
  <c r="E122"/>
  <c r="D121"/>
  <c r="C58"/>
  <c r="E59"/>
  <c r="E84" s="1"/>
  <c r="E121" s="1"/>
  <c r="D159" l="1"/>
  <c r="D160" s="1"/>
  <c r="C16" i="6"/>
  <c r="D65" i="11"/>
  <c r="J7" i="20" s="1"/>
  <c r="D69" i="11"/>
  <c r="J11" i="20" s="1"/>
  <c r="D73" i="11"/>
  <c r="J15" i="20" s="1"/>
  <c r="D77" i="11"/>
  <c r="J19" i="20" s="1"/>
  <c r="D64" i="11"/>
  <c r="J6" i="20" s="1"/>
  <c r="D68" i="11"/>
  <c r="J10" i="20" s="1"/>
  <c r="D72" i="11"/>
  <c r="J14" i="20" s="1"/>
  <c r="D76" i="11"/>
  <c r="J18" i="20" s="1"/>
  <c r="D63" i="11"/>
  <c r="J5" i="20" s="1"/>
  <c r="D67" i="11"/>
  <c r="J9" i="20" s="1"/>
  <c r="D71" i="11"/>
  <c r="J13" i="20" s="1"/>
  <c r="D75" i="11"/>
  <c r="J17" i="20" s="1"/>
  <c r="D61" i="11"/>
  <c r="J3" i="20" s="1"/>
  <c r="D62" i="11"/>
  <c r="J4" i="20" s="1"/>
  <c r="D66" i="11"/>
  <c r="J8" i="20" s="1"/>
  <c r="D70" i="11"/>
  <c r="J12" i="20" s="1"/>
  <c r="D74" i="11"/>
  <c r="J16" i="20" s="1"/>
  <c r="D78" i="11"/>
  <c r="J20" i="20" s="1"/>
  <c r="F122" i="11"/>
  <c r="F35"/>
  <c r="F159" s="1"/>
  <c r="E35"/>
  <c r="E159" s="1"/>
  <c r="E160" s="1"/>
  <c r="F59"/>
  <c r="F84" s="1"/>
  <c r="F121" s="1"/>
  <c r="F12"/>
  <c r="G11"/>
  <c r="G34" s="1"/>
  <c r="F85"/>
  <c r="F60"/>
  <c r="I10"/>
  <c r="BD13" i="20" l="1"/>
  <c r="AM13"/>
  <c r="AW13"/>
  <c r="AF13"/>
  <c r="BB13"/>
  <c r="BC13"/>
  <c r="AP13"/>
  <c r="AO13"/>
  <c r="AH13"/>
  <c r="AG13"/>
  <c r="AQ13"/>
  <c r="BA13"/>
  <c r="AJ13"/>
  <c r="AT13"/>
  <c r="AU13"/>
  <c r="AV13"/>
  <c r="F13"/>
  <c r="AN13"/>
  <c r="AK13"/>
  <c r="AL13"/>
  <c r="AZ13"/>
  <c r="AI13"/>
  <c r="AS13"/>
  <c r="AY13"/>
  <c r="AX13"/>
  <c r="AY12"/>
  <c r="AM12"/>
  <c r="AH12"/>
  <c r="AV12"/>
  <c r="AI12"/>
  <c r="AW12"/>
  <c r="AF12"/>
  <c r="AO12"/>
  <c r="AL12"/>
  <c r="F12"/>
  <c r="BA12"/>
  <c r="AT12"/>
  <c r="BD12"/>
  <c r="AJ12"/>
  <c r="AN12"/>
  <c r="AX12"/>
  <c r="AG12"/>
  <c r="BC12"/>
  <c r="AZ12"/>
  <c r="AP12"/>
  <c r="AQ12"/>
  <c r="AS12"/>
  <c r="BB12"/>
  <c r="AK12"/>
  <c r="AU12"/>
  <c r="AL17"/>
  <c r="AX17"/>
  <c r="AG17"/>
  <c r="AQ17"/>
  <c r="BA17"/>
  <c r="AJ17"/>
  <c r="BB17"/>
  <c r="AY17"/>
  <c r="AV17"/>
  <c r="AN17"/>
  <c r="AU17"/>
  <c r="F17"/>
  <c r="AT17"/>
  <c r="AP17"/>
  <c r="AZ17"/>
  <c r="AI17"/>
  <c r="AS17"/>
  <c r="AK17"/>
  <c r="AH17"/>
  <c r="BC17"/>
  <c r="AO17"/>
  <c r="BD17"/>
  <c r="AM17"/>
  <c r="AW17"/>
  <c r="AF17"/>
  <c r="BC18"/>
  <c r="AQ18"/>
  <c r="AI18"/>
  <c r="AM18"/>
  <c r="AO18"/>
  <c r="AU18"/>
  <c r="AK18"/>
  <c r="AZ18"/>
  <c r="AG18"/>
  <c r="BD18"/>
  <c r="AJ18"/>
  <c r="AF18"/>
  <c r="BB18"/>
  <c r="AT18"/>
  <c r="AX18"/>
  <c r="F18"/>
  <c r="BA18"/>
  <c r="AL18"/>
  <c r="AW18"/>
  <c r="AN18"/>
  <c r="AS18"/>
  <c r="AV18"/>
  <c r="AH18"/>
  <c r="AY18"/>
  <c r="AP18"/>
  <c r="AM19"/>
  <c r="AV19"/>
  <c r="BD19"/>
  <c r="BB19"/>
  <c r="AQ19"/>
  <c r="AJ19"/>
  <c r="AF19"/>
  <c r="AH19"/>
  <c r="AY19"/>
  <c r="AO19"/>
  <c r="AK19"/>
  <c r="AI19"/>
  <c r="F19"/>
  <c r="AU19"/>
  <c r="BA19"/>
  <c r="AW19"/>
  <c r="AP19"/>
  <c r="AG19"/>
  <c r="AX19"/>
  <c r="AZ19"/>
  <c r="AS19"/>
  <c r="AN19"/>
  <c r="AL19"/>
  <c r="BC19"/>
  <c r="AT19"/>
  <c r="AZ16"/>
  <c r="AH16"/>
  <c r="AV16"/>
  <c r="AY16"/>
  <c r="AM16"/>
  <c r="AS16"/>
  <c r="BB16"/>
  <c r="AK16"/>
  <c r="AW16"/>
  <c r="AO16"/>
  <c r="BC16"/>
  <c r="AI16"/>
  <c r="AF16"/>
  <c r="BD16"/>
  <c r="F16"/>
  <c r="BA16"/>
  <c r="AJ16"/>
  <c r="AT16"/>
  <c r="AU16"/>
  <c r="AQ16"/>
  <c r="AP16"/>
  <c r="AN16"/>
  <c r="AX16"/>
  <c r="AG16"/>
  <c r="AL16"/>
  <c r="AV3"/>
  <c r="F3"/>
  <c r="AN3"/>
  <c r="AW3"/>
  <c r="AJ3"/>
  <c r="AH3"/>
  <c r="AY3"/>
  <c r="AO3"/>
  <c r="AU3"/>
  <c r="BD3"/>
  <c r="AM3"/>
  <c r="AQ3"/>
  <c r="BB3"/>
  <c r="BA3"/>
  <c r="AP3"/>
  <c r="AG3"/>
  <c r="AX3"/>
  <c r="AF3"/>
  <c r="AZ3"/>
  <c r="AI3"/>
  <c r="AS3"/>
  <c r="AL3"/>
  <c r="BC3"/>
  <c r="AT3"/>
  <c r="AK3"/>
  <c r="BC5"/>
  <c r="AX5"/>
  <c r="AL5"/>
  <c r="AY5"/>
  <c r="AP5"/>
  <c r="AV5"/>
  <c r="F5"/>
  <c r="AN5"/>
  <c r="AI5"/>
  <c r="AU5"/>
  <c r="AH5"/>
  <c r="AZ5"/>
  <c r="AS5"/>
  <c r="BB5"/>
  <c r="AG5"/>
  <c r="BD5"/>
  <c r="AM5"/>
  <c r="AW5"/>
  <c r="AF5"/>
  <c r="AT5"/>
  <c r="AO5"/>
  <c r="AQ5"/>
  <c r="BA5"/>
  <c r="AJ5"/>
  <c r="AK5"/>
  <c r="AW6"/>
  <c r="AK6"/>
  <c r="BD6"/>
  <c r="AS6"/>
  <c r="AG6"/>
  <c r="AX6"/>
  <c r="AM6"/>
  <c r="BC6"/>
  <c r="BB6"/>
  <c r="AQ6"/>
  <c r="AF6"/>
  <c r="F6"/>
  <c r="BA6"/>
  <c r="AT6"/>
  <c r="AL6"/>
  <c r="AH6"/>
  <c r="AV6"/>
  <c r="AN6"/>
  <c r="AY6"/>
  <c r="AO6"/>
  <c r="AI6"/>
  <c r="AU6"/>
  <c r="AJ6"/>
  <c r="AZ6"/>
  <c r="AP6"/>
  <c r="BB7"/>
  <c r="AQ7"/>
  <c r="AW7"/>
  <c r="BD7"/>
  <c r="AP7"/>
  <c r="AG7"/>
  <c r="AX7"/>
  <c r="AI7"/>
  <c r="AN7"/>
  <c r="AS7"/>
  <c r="AV7"/>
  <c r="AL7"/>
  <c r="BA7"/>
  <c r="AF7"/>
  <c r="AM7"/>
  <c r="AH7"/>
  <c r="AY7"/>
  <c r="AO7"/>
  <c r="AJ7"/>
  <c r="AZ7"/>
  <c r="F7"/>
  <c r="AU7"/>
  <c r="AK7"/>
  <c r="BC7"/>
  <c r="AT7"/>
  <c r="AY8"/>
  <c r="AN8"/>
  <c r="AX8"/>
  <c r="AG8"/>
  <c r="AL8"/>
  <c r="F8"/>
  <c r="BB8"/>
  <c r="AP8"/>
  <c r="AS8"/>
  <c r="AK8"/>
  <c r="BD8"/>
  <c r="AH8"/>
  <c r="AW8"/>
  <c r="AF8"/>
  <c r="AO8"/>
  <c r="BC8"/>
  <c r="AQ8"/>
  <c r="AV8"/>
  <c r="AM8"/>
  <c r="BA8"/>
  <c r="AJ8"/>
  <c r="AT8"/>
  <c r="AU8"/>
  <c r="AI8"/>
  <c r="AZ8"/>
  <c r="BA14"/>
  <c r="AS14"/>
  <c r="AK14"/>
  <c r="BC14"/>
  <c r="AX14"/>
  <c r="BB14"/>
  <c r="AV14"/>
  <c r="AM14"/>
  <c r="AF14"/>
  <c r="BD14"/>
  <c r="AW14"/>
  <c r="AO14"/>
  <c r="AG14"/>
  <c r="AQ14"/>
  <c r="AJ14"/>
  <c r="F14"/>
  <c r="AZ14"/>
  <c r="AL14"/>
  <c r="AH14"/>
  <c r="AT14"/>
  <c r="AN14"/>
  <c r="AU14"/>
  <c r="AI14"/>
  <c r="AP14"/>
  <c r="AY14"/>
  <c r="AZ15"/>
  <c r="AN15"/>
  <c r="BB15"/>
  <c r="BD15"/>
  <c r="AQ15"/>
  <c r="AF15"/>
  <c r="AV15"/>
  <c r="AI15"/>
  <c r="AW15"/>
  <c r="AM15"/>
  <c r="F15"/>
  <c r="AP15"/>
  <c r="AG15"/>
  <c r="AX15"/>
  <c r="BA15"/>
  <c r="AL15"/>
  <c r="AT15"/>
  <c r="AS15"/>
  <c r="AH15"/>
  <c r="AY15"/>
  <c r="AO15"/>
  <c r="AJ15"/>
  <c r="AU15"/>
  <c r="AK15"/>
  <c r="BC15"/>
  <c r="AN20"/>
  <c r="AX20"/>
  <c r="AG20"/>
  <c r="AZ20"/>
  <c r="BD20"/>
  <c r="AS20"/>
  <c r="AU20"/>
  <c r="BB20"/>
  <c r="AK20"/>
  <c r="AI20"/>
  <c r="AV20"/>
  <c r="AW20"/>
  <c r="AF20"/>
  <c r="AO20"/>
  <c r="F20"/>
  <c r="AM20"/>
  <c r="AL20"/>
  <c r="AP20"/>
  <c r="BA20"/>
  <c r="AJ20"/>
  <c r="AT20"/>
  <c r="BC20"/>
  <c r="AQ20"/>
  <c r="AH20"/>
  <c r="AY20"/>
  <c r="BD4"/>
  <c r="AQ4"/>
  <c r="AN4"/>
  <c r="AX4"/>
  <c r="AG4"/>
  <c r="AU4"/>
  <c r="AY4"/>
  <c r="AI4"/>
  <c r="AS4"/>
  <c r="AK4"/>
  <c r="AP4"/>
  <c r="BB4"/>
  <c r="AL4"/>
  <c r="F4"/>
  <c r="AV4"/>
  <c r="AW4"/>
  <c r="AF4"/>
  <c r="AO4"/>
  <c r="AH4"/>
  <c r="AZ4"/>
  <c r="AM4"/>
  <c r="BA4"/>
  <c r="AJ4"/>
  <c r="AT4"/>
  <c r="BC4"/>
  <c r="AO9"/>
  <c r="BC9"/>
  <c r="AY9"/>
  <c r="AX9"/>
  <c r="AQ9"/>
  <c r="BA9"/>
  <c r="AJ9"/>
  <c r="AK9"/>
  <c r="F9"/>
  <c r="AL9"/>
  <c r="AU9"/>
  <c r="AP9"/>
  <c r="AV9"/>
  <c r="AN9"/>
  <c r="AH9"/>
  <c r="AG9"/>
  <c r="AZ9"/>
  <c r="AI9"/>
  <c r="AS9"/>
  <c r="BB9"/>
  <c r="BD9"/>
  <c r="AM9"/>
  <c r="AW9"/>
  <c r="AF9"/>
  <c r="AT9"/>
  <c r="AV10"/>
  <c r="F10"/>
  <c r="AO10"/>
  <c r="BA10"/>
  <c r="BC10"/>
  <c r="AJ10"/>
  <c r="AG10"/>
  <c r="BD10"/>
  <c r="AF10"/>
  <c r="BB10"/>
  <c r="AU10"/>
  <c r="AX10"/>
  <c r="AW10"/>
  <c r="AT10"/>
  <c r="AS10"/>
  <c r="AZ10"/>
  <c r="AQ10"/>
  <c r="AL10"/>
  <c r="AI10"/>
  <c r="AM10"/>
  <c r="AN10"/>
  <c r="AK10"/>
  <c r="AH10"/>
  <c r="AY10"/>
  <c r="AP10"/>
  <c r="BD11"/>
  <c r="AQ11"/>
  <c r="AF11"/>
  <c r="AZ11"/>
  <c r="AV11"/>
  <c r="AI11"/>
  <c r="AW11"/>
  <c r="AM11"/>
  <c r="F11"/>
  <c r="AN11"/>
  <c r="BB11"/>
  <c r="AH11"/>
  <c r="AY11"/>
  <c r="AO11"/>
  <c r="AU11"/>
  <c r="BA11"/>
  <c r="AK11"/>
  <c r="AS11"/>
  <c r="AP11"/>
  <c r="AG11"/>
  <c r="AX11"/>
  <c r="AJ11"/>
  <c r="AL11"/>
  <c r="BC11"/>
  <c r="AT11"/>
  <c r="F160" i="11"/>
  <c r="B74"/>
  <c r="H16" i="20" s="1"/>
  <c r="A74" i="11"/>
  <c r="G16" i="20" s="1"/>
  <c r="B61" i="11"/>
  <c r="H3" i="20" s="1"/>
  <c r="A61" i="11"/>
  <c r="B63"/>
  <c r="H5" i="20" s="1"/>
  <c r="A63" i="11"/>
  <c r="G5" i="20" s="1"/>
  <c r="A64" i="11"/>
  <c r="G6" i="20" s="1"/>
  <c r="B64" i="11"/>
  <c r="H6" i="20" s="1"/>
  <c r="A65" i="11"/>
  <c r="G7" i="20" s="1"/>
  <c r="B65" i="11"/>
  <c r="H7" i="20" s="1"/>
  <c r="B78" i="11"/>
  <c r="H20" i="20" s="1"/>
  <c r="A78" i="11"/>
  <c r="G20" i="20" s="1"/>
  <c r="B62" i="11"/>
  <c r="H4" i="20" s="1"/>
  <c r="A62" i="11"/>
  <c r="G4" i="20" s="1"/>
  <c r="B67" i="11"/>
  <c r="H9" i="20" s="1"/>
  <c r="A67" i="11"/>
  <c r="G9" i="20" s="1"/>
  <c r="A68" i="11"/>
  <c r="G10" i="20" s="1"/>
  <c r="B68" i="11"/>
  <c r="H10" i="20" s="1"/>
  <c r="A69" i="11"/>
  <c r="G11" i="20" s="1"/>
  <c r="B69" i="11"/>
  <c r="H11" i="20" s="1"/>
  <c r="B66" i="11"/>
  <c r="H8" i="20" s="1"/>
  <c r="A66" i="11"/>
  <c r="G8" i="20" s="1"/>
  <c r="B71" i="11"/>
  <c r="H13" i="20" s="1"/>
  <c r="A71" i="11"/>
  <c r="G13" i="20" s="1"/>
  <c r="A72" i="11"/>
  <c r="G14" i="20" s="1"/>
  <c r="B72" i="11"/>
  <c r="H14" i="20" s="1"/>
  <c r="A73" i="11"/>
  <c r="G15" i="20" s="1"/>
  <c r="B73" i="11"/>
  <c r="H15" i="20" s="1"/>
  <c r="B70" i="11"/>
  <c r="H12" i="20" s="1"/>
  <c r="A70" i="11"/>
  <c r="G12" i="20" s="1"/>
  <c r="B75" i="11"/>
  <c r="H17" i="20" s="1"/>
  <c r="A75" i="11"/>
  <c r="G17" i="20" s="1"/>
  <c r="A76" i="11"/>
  <c r="G18" i="20" s="1"/>
  <c r="B76" i="11"/>
  <c r="H18" i="20" s="1"/>
  <c r="A77" i="11"/>
  <c r="G19" i="20" s="1"/>
  <c r="B77" i="11"/>
  <c r="H19" i="20" s="1"/>
  <c r="G35" i="11"/>
  <c r="G159" s="1"/>
  <c r="G122"/>
  <c r="G12"/>
  <c r="H11"/>
  <c r="H34" s="1"/>
  <c r="G60"/>
  <c r="G59"/>
  <c r="G84" s="1"/>
  <c r="G121" s="1"/>
  <c r="G85"/>
  <c r="J10"/>
  <c r="G3" i="20" l="1"/>
  <c r="G160" i="11"/>
  <c r="H35"/>
  <c r="H159" s="1"/>
  <c r="H12"/>
  <c r="H60"/>
  <c r="H59"/>
  <c r="H84" s="1"/>
  <c r="H121" s="1"/>
  <c r="H122"/>
  <c r="I11"/>
  <c r="I34" s="1"/>
  <c r="H85"/>
  <c r="K10"/>
  <c r="H160" l="1"/>
  <c r="I85"/>
  <c r="I35"/>
  <c r="I159" s="1"/>
  <c r="I60"/>
  <c r="I12"/>
  <c r="I122"/>
  <c r="J11"/>
  <c r="J34" s="1"/>
  <c r="I59"/>
  <c r="I84" s="1"/>
  <c r="I121" s="1"/>
  <c r="L10"/>
  <c r="I160" l="1"/>
  <c r="J35"/>
  <c r="J159" s="1"/>
  <c r="J85"/>
  <c r="J12"/>
  <c r="J60"/>
  <c r="K11"/>
  <c r="K34" s="1"/>
  <c r="J59"/>
  <c r="J84" s="1"/>
  <c r="J121" s="1"/>
  <c r="J122"/>
  <c r="M10"/>
  <c r="J160" l="1"/>
  <c r="K35"/>
  <c r="K159" s="1"/>
  <c r="K59"/>
  <c r="K84" s="1"/>
  <c r="K121" s="1"/>
  <c r="K12"/>
  <c r="L11"/>
  <c r="L34" s="1"/>
  <c r="K122"/>
  <c r="K85"/>
  <c r="K60"/>
  <c r="N10"/>
  <c r="K160" l="1"/>
  <c r="L35"/>
  <c r="L159" s="1"/>
  <c r="L122"/>
  <c r="L12"/>
  <c r="L85"/>
  <c r="L59"/>
  <c r="L84" s="1"/>
  <c r="L121" s="1"/>
  <c r="L60"/>
  <c r="M11"/>
  <c r="M34" s="1"/>
  <c r="O10"/>
  <c r="L160" l="1"/>
  <c r="M122"/>
  <c r="M35"/>
  <c r="M159" s="1"/>
  <c r="M85"/>
  <c r="M12"/>
  <c r="M60"/>
  <c r="M59"/>
  <c r="M84" s="1"/>
  <c r="M121" s="1"/>
  <c r="N11"/>
  <c r="N34" s="1"/>
  <c r="P10"/>
  <c r="M160" l="1"/>
  <c r="N35"/>
  <c r="N159" s="1"/>
  <c r="N122"/>
  <c r="N12"/>
  <c r="N85"/>
  <c r="N59"/>
  <c r="N84" s="1"/>
  <c r="N121" s="1"/>
  <c r="O11"/>
  <c r="O34" s="1"/>
  <c r="N60"/>
  <c r="Q10"/>
  <c r="N160" l="1"/>
  <c r="O122"/>
  <c r="O35"/>
  <c r="O159" s="1"/>
  <c r="O85"/>
  <c r="O12"/>
  <c r="O59"/>
  <c r="O84" s="1"/>
  <c r="O121" s="1"/>
  <c r="P11"/>
  <c r="P34" s="1"/>
  <c r="O60"/>
  <c r="R10"/>
  <c r="O160" l="1"/>
  <c r="P12"/>
  <c r="P35"/>
  <c r="P159" s="1"/>
  <c r="P60"/>
  <c r="P85"/>
  <c r="Q11"/>
  <c r="Q34" s="1"/>
  <c r="P59"/>
  <c r="P84" s="1"/>
  <c r="P121" s="1"/>
  <c r="P122"/>
  <c r="S10"/>
  <c r="P160" l="1"/>
  <c r="Q12"/>
  <c r="Q35"/>
  <c r="Q159" s="1"/>
  <c r="Q85"/>
  <c r="Q60"/>
  <c r="Q59"/>
  <c r="Q84" s="1"/>
  <c r="Q121" s="1"/>
  <c r="R11"/>
  <c r="R34" s="1"/>
  <c r="Q122"/>
  <c r="T10"/>
  <c r="Q160" l="1"/>
  <c r="R12"/>
  <c r="R35"/>
  <c r="R159" s="1"/>
  <c r="R60"/>
  <c r="S11"/>
  <c r="S34" s="1"/>
  <c r="R59"/>
  <c r="R84" s="1"/>
  <c r="R121" s="1"/>
  <c r="R122"/>
  <c r="R85"/>
  <c r="U10"/>
  <c r="R160" l="1"/>
  <c r="S12"/>
  <c r="S35"/>
  <c r="S159" s="1"/>
  <c r="S85"/>
  <c r="S60"/>
  <c r="S59"/>
  <c r="S84" s="1"/>
  <c r="S121" s="1"/>
  <c r="T11"/>
  <c r="T34" s="1"/>
  <c r="S122"/>
  <c r="V10"/>
  <c r="S160" l="1"/>
  <c r="T12"/>
  <c r="T35"/>
  <c r="T159" s="1"/>
  <c r="T60"/>
  <c r="T59"/>
  <c r="T84" s="1"/>
  <c r="T121" s="1"/>
  <c r="U11"/>
  <c r="U34" s="1"/>
  <c r="T85"/>
  <c r="T122"/>
  <c r="W10"/>
  <c r="T160" l="1"/>
  <c r="U12"/>
  <c r="U35"/>
  <c r="U159" s="1"/>
  <c r="U85"/>
  <c r="U122"/>
  <c r="U59"/>
  <c r="U84" s="1"/>
  <c r="U121" s="1"/>
  <c r="U60"/>
  <c r="V11"/>
  <c r="V34" s="1"/>
  <c r="X10"/>
  <c r="U160" l="1"/>
  <c r="V12"/>
  <c r="V35"/>
  <c r="V159" s="1"/>
  <c r="V60"/>
  <c r="W11"/>
  <c r="W34" s="1"/>
  <c r="V59"/>
  <c r="V84" s="1"/>
  <c r="V121" s="1"/>
  <c r="V122"/>
  <c r="V85"/>
  <c r="V160" l="1"/>
  <c r="W12"/>
  <c r="W35"/>
  <c r="W159" s="1"/>
  <c r="W60"/>
  <c r="W59"/>
  <c r="W84" s="1"/>
  <c r="W121" s="1"/>
  <c r="W85"/>
  <c r="X11"/>
  <c r="X34" s="1"/>
  <c r="W122"/>
  <c r="W160" l="1"/>
  <c r="X12"/>
  <c r="X35"/>
  <c r="X159" s="1"/>
  <c r="X59"/>
  <c r="X84" s="1"/>
  <c r="X121" s="1"/>
  <c r="X60"/>
  <c r="X122"/>
  <c r="X85"/>
  <c r="X160" l="1"/>
  <c r="G70" i="10"/>
  <c r="F70"/>
  <c r="G69"/>
  <c r="F69"/>
  <c r="G68"/>
  <c r="F68"/>
  <c r="F67"/>
  <c r="G67" s="1"/>
  <c r="F66"/>
  <c r="G66" s="1"/>
  <c r="G65"/>
  <c r="F65"/>
  <c r="F64"/>
  <c r="G64" s="1"/>
  <c r="F63"/>
  <c r="G63" s="1"/>
  <c r="G62"/>
  <c r="F62"/>
  <c r="G61"/>
  <c r="F61"/>
  <c r="G60"/>
  <c r="F60"/>
  <c r="F59"/>
  <c r="G59" s="1"/>
  <c r="G58"/>
  <c r="F58"/>
  <c r="F57"/>
  <c r="G57" s="1"/>
  <c r="G56"/>
  <c r="F56"/>
  <c r="F55"/>
  <c r="G55" s="1"/>
  <c r="G54"/>
  <c r="F54"/>
  <c r="G53"/>
  <c r="F53"/>
  <c r="G52"/>
  <c r="F52"/>
  <c r="F51"/>
  <c r="G51" s="1"/>
  <c r="F50"/>
  <c r="G50" s="1"/>
  <c r="G49"/>
  <c r="F49"/>
  <c r="F48"/>
  <c r="F72" s="1"/>
  <c r="M22"/>
  <c r="F22"/>
  <c r="D22"/>
  <c r="C22"/>
  <c r="F21"/>
  <c r="D21"/>
  <c r="C21"/>
  <c r="G48" l="1"/>
  <c r="J72"/>
  <c r="G72" l="1"/>
  <c r="H52" s="1"/>
  <c r="H54"/>
  <c r="H70"/>
  <c r="H55" l="1"/>
  <c r="H61"/>
  <c r="H56"/>
  <c r="H53"/>
  <c r="H66"/>
  <c r="H49"/>
  <c r="H58"/>
  <c r="J73"/>
  <c r="H67"/>
  <c r="H50"/>
  <c r="H68"/>
  <c r="H65"/>
  <c r="H60"/>
  <c r="H69"/>
  <c r="H51"/>
  <c r="H57"/>
  <c r="G73"/>
  <c r="H62"/>
  <c r="H59"/>
  <c r="H48"/>
  <c r="H64"/>
  <c r="H63"/>
  <c r="T70" i="9" l="1"/>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7"/>
  <c r="R6"/>
  <c r="R9" s="1"/>
  <c r="R10"/>
  <c r="R14"/>
  <c r="R18"/>
  <c r="R22"/>
  <c r="R26"/>
  <c r="R30"/>
  <c r="R34"/>
  <c r="R38"/>
  <c r="R42"/>
  <c r="R46"/>
  <c r="R50"/>
  <c r="R54"/>
  <c r="R58"/>
  <c r="R62"/>
  <c r="R66"/>
  <c r="C739"/>
  <c r="C740" s="1"/>
  <c r="C741" s="1"/>
  <c r="C742" s="1"/>
  <c r="C743" s="1"/>
  <c r="C744" s="1"/>
  <c r="C745" s="1"/>
  <c r="C746" s="1"/>
  <c r="C747" s="1"/>
  <c r="C748" s="1"/>
  <c r="C749" s="1"/>
  <c r="C750" s="1"/>
  <c r="C751" s="1"/>
  <c r="C752" s="1"/>
  <c r="C753" s="1"/>
  <c r="C754" s="1"/>
  <c r="C755" s="1"/>
  <c r="C756" s="1"/>
  <c r="C757" s="1"/>
  <c r="C758" s="1"/>
  <c r="C759" s="1"/>
  <c r="C760" s="1"/>
  <c r="C761" s="1"/>
  <c r="C762" s="1"/>
  <c r="C763" s="1"/>
  <c r="C764" s="1"/>
  <c r="C765" s="1"/>
  <c r="C766" s="1"/>
  <c r="C767" s="1"/>
  <c r="C768" s="1"/>
  <c r="C769" s="1"/>
  <c r="C770" s="1"/>
  <c r="C771" s="1"/>
  <c r="C772" s="1"/>
  <c r="C773" s="1"/>
  <c r="C774" s="1"/>
  <c r="C775" s="1"/>
  <c r="C776" s="1"/>
  <c r="C777" s="1"/>
  <c r="C778" s="1"/>
  <c r="C779" s="1"/>
  <c r="C780" s="1"/>
  <c r="C781" s="1"/>
  <c r="C782" s="1"/>
  <c r="C783" s="1"/>
  <c r="C784" s="1"/>
  <c r="C785" s="1"/>
  <c r="C786" s="1"/>
  <c r="C787" s="1"/>
  <c r="C788" s="1"/>
  <c r="C789" s="1"/>
  <c r="C790" s="1"/>
  <c r="C791" s="1"/>
  <c r="C792" s="1"/>
  <c r="C793" s="1"/>
  <c r="C794" s="1"/>
  <c r="C795" s="1"/>
  <c r="C796" s="1"/>
  <c r="C797" s="1"/>
  <c r="C798" s="1"/>
  <c r="C799" s="1"/>
  <c r="C800" s="1"/>
  <c r="C801" s="1"/>
  <c r="C802" s="1"/>
  <c r="C803" s="1"/>
  <c r="C804" s="1"/>
  <c r="C805" s="1"/>
  <c r="C806" s="1"/>
  <c r="C807" s="1"/>
  <c r="C808" s="1"/>
  <c r="C809" s="1"/>
  <c r="C810" s="1"/>
  <c r="C811" s="1"/>
  <c r="C812" s="1"/>
  <c r="C813" s="1"/>
  <c r="C814" s="1"/>
  <c r="C815" s="1"/>
  <c r="C816" s="1"/>
  <c r="C817" s="1"/>
  <c r="C818" s="1"/>
  <c r="C819" s="1"/>
  <c r="C820" s="1"/>
  <c r="C821" s="1"/>
  <c r="C822" s="1"/>
  <c r="C823" s="1"/>
  <c r="C824" s="1"/>
  <c r="C825" s="1"/>
  <c r="C826" s="1"/>
  <c r="C827" s="1"/>
  <c r="E739"/>
  <c r="E740" s="1"/>
  <c r="E741" s="1"/>
  <c r="E742" s="1"/>
  <c r="E743" s="1"/>
  <c r="E744" s="1"/>
  <c r="E745" s="1"/>
  <c r="E746" s="1"/>
  <c r="E747" s="1"/>
  <c r="E748" s="1"/>
  <c r="E749" s="1"/>
  <c r="E750" s="1"/>
  <c r="E751" s="1"/>
  <c r="E752" s="1"/>
  <c r="E753" s="1"/>
  <c r="E754" s="1"/>
  <c r="E755" s="1"/>
  <c r="E756" s="1"/>
  <c r="E757" s="1"/>
  <c r="E758" s="1"/>
  <c r="E759" s="1"/>
  <c r="E760" s="1"/>
  <c r="E761" s="1"/>
  <c r="E762" s="1"/>
  <c r="E763" s="1"/>
  <c r="E764" s="1"/>
  <c r="E765" s="1"/>
  <c r="E766" s="1"/>
  <c r="E767" s="1"/>
  <c r="E768" s="1"/>
  <c r="E769" s="1"/>
  <c r="E770" s="1"/>
  <c r="E771" s="1"/>
  <c r="E772" s="1"/>
  <c r="E773" s="1"/>
  <c r="E774" s="1"/>
  <c r="E775" s="1"/>
  <c r="E776" s="1"/>
  <c r="E777" s="1"/>
  <c r="E778" s="1"/>
  <c r="E779" s="1"/>
  <c r="E780" s="1"/>
  <c r="E781" s="1"/>
  <c r="E782" s="1"/>
  <c r="E783" s="1"/>
  <c r="E784" s="1"/>
  <c r="E785" s="1"/>
  <c r="E786" s="1"/>
  <c r="E787" s="1"/>
  <c r="E788" s="1"/>
  <c r="E789" s="1"/>
  <c r="E790" s="1"/>
  <c r="E791" s="1"/>
  <c r="E792" s="1"/>
  <c r="E793" s="1"/>
  <c r="E794" s="1"/>
  <c r="E795" s="1"/>
  <c r="E796" s="1"/>
  <c r="E797" s="1"/>
  <c r="E798" s="1"/>
  <c r="E799" s="1"/>
  <c r="E800" s="1"/>
  <c r="E801" s="1"/>
  <c r="E802" s="1"/>
  <c r="E803" s="1"/>
  <c r="E804" s="1"/>
  <c r="E805" s="1"/>
  <c r="E806" s="1"/>
  <c r="E807" s="1"/>
  <c r="E808" s="1"/>
  <c r="E809" s="1"/>
  <c r="E810" s="1"/>
  <c r="E811" s="1"/>
  <c r="E812" s="1"/>
  <c r="E813" s="1"/>
  <c r="E814" s="1"/>
  <c r="E815" s="1"/>
  <c r="E816" s="1"/>
  <c r="E817" s="1"/>
  <c r="E818" s="1"/>
  <c r="E819" s="1"/>
  <c r="E820" s="1"/>
  <c r="E821" s="1"/>
  <c r="E822" s="1"/>
  <c r="E823" s="1"/>
  <c r="E824" s="1"/>
  <c r="E825" s="1"/>
  <c r="E826" s="1"/>
  <c r="E827" s="1"/>
  <c r="E9"/>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54" s="1"/>
  <c r="E55" s="1"/>
  <c r="E56" s="1"/>
  <c r="E57" s="1"/>
  <c r="E58" s="1"/>
  <c r="E59" s="1"/>
  <c r="E60" s="1"/>
  <c r="E61" s="1"/>
  <c r="E62" s="1"/>
  <c r="E63" s="1"/>
  <c r="E64" s="1"/>
  <c r="E65" s="1"/>
  <c r="E66" s="1"/>
  <c r="E67" s="1"/>
  <c r="E68" s="1"/>
  <c r="E69" s="1"/>
  <c r="E70" s="1"/>
  <c r="E71" s="1"/>
  <c r="E72" s="1"/>
  <c r="E73" s="1"/>
  <c r="E74" s="1"/>
  <c r="E75" s="1"/>
  <c r="E76" s="1"/>
  <c r="E77" s="1"/>
  <c r="E78" s="1"/>
  <c r="E79" s="1"/>
  <c r="E80" s="1"/>
  <c r="E81" s="1"/>
  <c r="E82" s="1"/>
  <c r="E83" s="1"/>
  <c r="E84" s="1"/>
  <c r="E85" s="1"/>
  <c r="E86" s="1"/>
  <c r="E87" s="1"/>
  <c r="E88" s="1"/>
  <c r="E89" s="1"/>
  <c r="E90" s="1"/>
  <c r="E91" s="1"/>
  <c r="E92" s="1"/>
  <c r="E93" s="1"/>
  <c r="E94" s="1"/>
  <c r="E95" s="1"/>
  <c r="E96" s="1"/>
  <c r="E97" s="1"/>
  <c r="E98" s="1"/>
  <c r="E99" s="1"/>
  <c r="E100" s="1"/>
  <c r="E101" s="1"/>
  <c r="E102" s="1"/>
  <c r="E103" s="1"/>
  <c r="E104" s="1"/>
  <c r="E105" s="1"/>
  <c r="E106" s="1"/>
  <c r="E107" s="1"/>
  <c r="E108" s="1"/>
  <c r="E109" s="1"/>
  <c r="E110" s="1"/>
  <c r="E111" s="1"/>
  <c r="E112" s="1"/>
  <c r="E113" s="1"/>
  <c r="E114" s="1"/>
  <c r="E115" s="1"/>
  <c r="E116" s="1"/>
  <c r="E117" s="1"/>
  <c r="E118" s="1"/>
  <c r="E119" s="1"/>
  <c r="E120" s="1"/>
  <c r="E121" s="1"/>
  <c r="E122" s="1"/>
  <c r="E123" s="1"/>
  <c r="E124" s="1"/>
  <c r="E125" s="1"/>
  <c r="E126" s="1"/>
  <c r="E127" s="1"/>
  <c r="E128" s="1"/>
  <c r="E129" s="1"/>
  <c r="E130" s="1"/>
  <c r="E131" s="1"/>
  <c r="E132" s="1"/>
  <c r="E133" s="1"/>
  <c r="E134" s="1"/>
  <c r="E135" s="1"/>
  <c r="E136" s="1"/>
  <c r="E137" s="1"/>
  <c r="E138" s="1"/>
  <c r="E139" s="1"/>
  <c r="E140" s="1"/>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E170" s="1"/>
  <c r="E171" s="1"/>
  <c r="E172" s="1"/>
  <c r="E173" s="1"/>
  <c r="E174" s="1"/>
  <c r="E175" s="1"/>
  <c r="E176" s="1"/>
  <c r="E177" s="1"/>
  <c r="E178" s="1"/>
  <c r="E179" s="1"/>
  <c r="E180" s="1"/>
  <c r="E181" s="1"/>
  <c r="E182" s="1"/>
  <c r="E183" s="1"/>
  <c r="E184" s="1"/>
  <c r="E185" s="1"/>
  <c r="E186" s="1"/>
  <c r="E187" s="1"/>
  <c r="E188" s="1"/>
  <c r="E189" s="1"/>
  <c r="E190" s="1"/>
  <c r="E191" s="1"/>
  <c r="E192" s="1"/>
  <c r="E193" s="1"/>
  <c r="E194" s="1"/>
  <c r="E195" s="1"/>
  <c r="E196" s="1"/>
  <c r="E197" s="1"/>
  <c r="E198" s="1"/>
  <c r="E199" s="1"/>
  <c r="E200" s="1"/>
  <c r="E201" s="1"/>
  <c r="E202" s="1"/>
  <c r="E203" s="1"/>
  <c r="E204" s="1"/>
  <c r="E205" s="1"/>
  <c r="E206" s="1"/>
  <c r="E207" s="1"/>
  <c r="E208" s="1"/>
  <c r="E209" s="1"/>
  <c r="E210" s="1"/>
  <c r="E211" s="1"/>
  <c r="E212" s="1"/>
  <c r="E213" s="1"/>
  <c r="E214" s="1"/>
  <c r="E215" s="1"/>
  <c r="E216" s="1"/>
  <c r="E217" s="1"/>
  <c r="E218" s="1"/>
  <c r="E219" s="1"/>
  <c r="E220" s="1"/>
  <c r="E221" s="1"/>
  <c r="E222" s="1"/>
  <c r="E223" s="1"/>
  <c r="E224" s="1"/>
  <c r="E225" s="1"/>
  <c r="E226" s="1"/>
  <c r="E227" s="1"/>
  <c r="E228" s="1"/>
  <c r="E229" s="1"/>
  <c r="E230" s="1"/>
  <c r="E231" s="1"/>
  <c r="E232" s="1"/>
  <c r="E233" s="1"/>
  <c r="E234" s="1"/>
  <c r="E235" s="1"/>
  <c r="E236" s="1"/>
  <c r="E237" s="1"/>
  <c r="E238" s="1"/>
  <c r="E239" s="1"/>
  <c r="E240" s="1"/>
  <c r="E241" s="1"/>
  <c r="E242" s="1"/>
  <c r="E243" s="1"/>
  <c r="E244" s="1"/>
  <c r="E245" s="1"/>
  <c r="E246" s="1"/>
  <c r="E247" s="1"/>
  <c r="E248" s="1"/>
  <c r="E249" s="1"/>
  <c r="E250" s="1"/>
  <c r="E251" s="1"/>
  <c r="E252" s="1"/>
  <c r="E253" s="1"/>
  <c r="E254" s="1"/>
  <c r="E255" s="1"/>
  <c r="E256" s="1"/>
  <c r="E257" s="1"/>
  <c r="E258" s="1"/>
  <c r="E259" s="1"/>
  <c r="E260" s="1"/>
  <c r="E261" s="1"/>
  <c r="E262" s="1"/>
  <c r="E263" s="1"/>
  <c r="E264" s="1"/>
  <c r="E265" s="1"/>
  <c r="E266" s="1"/>
  <c r="E267" s="1"/>
  <c r="E268" s="1"/>
  <c r="E269" s="1"/>
  <c r="E270" s="1"/>
  <c r="E271" s="1"/>
  <c r="E272" s="1"/>
  <c r="E273" s="1"/>
  <c r="E274" s="1"/>
  <c r="E275" s="1"/>
  <c r="E276" s="1"/>
  <c r="E277" s="1"/>
  <c r="E278" s="1"/>
  <c r="E279" s="1"/>
  <c r="E280" s="1"/>
  <c r="E281" s="1"/>
  <c r="E282" s="1"/>
  <c r="E283" s="1"/>
  <c r="E284" s="1"/>
  <c r="E285" s="1"/>
  <c r="E286" s="1"/>
  <c r="E287" s="1"/>
  <c r="E288" s="1"/>
  <c r="E289" s="1"/>
  <c r="E290" s="1"/>
  <c r="E291" s="1"/>
  <c r="E292" s="1"/>
  <c r="E293" s="1"/>
  <c r="E294" s="1"/>
  <c r="E295" s="1"/>
  <c r="E296" s="1"/>
  <c r="E297" s="1"/>
  <c r="E298" s="1"/>
  <c r="E299" s="1"/>
  <c r="E300" s="1"/>
  <c r="E301" s="1"/>
  <c r="E302" s="1"/>
  <c r="E303" s="1"/>
  <c r="E304" s="1"/>
  <c r="E305" s="1"/>
  <c r="E306" s="1"/>
  <c r="E307" s="1"/>
  <c r="E308" s="1"/>
  <c r="E309" s="1"/>
  <c r="E310" s="1"/>
  <c r="E311" s="1"/>
  <c r="E312" s="1"/>
  <c r="E313" s="1"/>
  <c r="E314" s="1"/>
  <c r="E315" s="1"/>
  <c r="E316" s="1"/>
  <c r="E317" s="1"/>
  <c r="E318" s="1"/>
  <c r="E319" s="1"/>
  <c r="E320" s="1"/>
  <c r="E321" s="1"/>
  <c r="E322" s="1"/>
  <c r="E323" s="1"/>
  <c r="E324" s="1"/>
  <c r="E325" s="1"/>
  <c r="E326" s="1"/>
  <c r="E327" s="1"/>
  <c r="E328" s="1"/>
  <c r="E329" s="1"/>
  <c r="E330" s="1"/>
  <c r="E331" s="1"/>
  <c r="E332" s="1"/>
  <c r="E333" s="1"/>
  <c r="E334" s="1"/>
  <c r="E335" s="1"/>
  <c r="E336" s="1"/>
  <c r="E337" s="1"/>
  <c r="E338" s="1"/>
  <c r="E339" s="1"/>
  <c r="E340" s="1"/>
  <c r="E341" s="1"/>
  <c r="E342" s="1"/>
  <c r="E343" s="1"/>
  <c r="E344" s="1"/>
  <c r="E345" s="1"/>
  <c r="E346" s="1"/>
  <c r="E347" s="1"/>
  <c r="E348" s="1"/>
  <c r="E349" s="1"/>
  <c r="E350" s="1"/>
  <c r="E351" s="1"/>
  <c r="E352" s="1"/>
  <c r="E353" s="1"/>
  <c r="E354" s="1"/>
  <c r="E355" s="1"/>
  <c r="E356" s="1"/>
  <c r="E357" s="1"/>
  <c r="E358" s="1"/>
  <c r="E359" s="1"/>
  <c r="E360" s="1"/>
  <c r="E361" s="1"/>
  <c r="E362" s="1"/>
  <c r="E363" s="1"/>
  <c r="E364" s="1"/>
  <c r="E365" s="1"/>
  <c r="E366" s="1"/>
  <c r="E367" s="1"/>
  <c r="E368" s="1"/>
  <c r="E369" s="1"/>
  <c r="E370" s="1"/>
  <c r="E371" s="1"/>
  <c r="E372" s="1"/>
  <c r="E373" s="1"/>
  <c r="E374" s="1"/>
  <c r="E375" s="1"/>
  <c r="E376" s="1"/>
  <c r="E377" s="1"/>
  <c r="E378" s="1"/>
  <c r="E379" s="1"/>
  <c r="E380" s="1"/>
  <c r="E381" s="1"/>
  <c r="E382" s="1"/>
  <c r="E383" s="1"/>
  <c r="E384" s="1"/>
  <c r="E385" s="1"/>
  <c r="E386" s="1"/>
  <c r="E387" s="1"/>
  <c r="E388" s="1"/>
  <c r="E389" s="1"/>
  <c r="E390" s="1"/>
  <c r="E391" s="1"/>
  <c r="E392" s="1"/>
  <c r="E393" s="1"/>
  <c r="E394" s="1"/>
  <c r="E395" s="1"/>
  <c r="E396" s="1"/>
  <c r="E397" s="1"/>
  <c r="E398" s="1"/>
  <c r="E399" s="1"/>
  <c r="E400" s="1"/>
  <c r="E401" s="1"/>
  <c r="E402" s="1"/>
  <c r="E403" s="1"/>
  <c r="E404" s="1"/>
  <c r="E405" s="1"/>
  <c r="E406" s="1"/>
  <c r="E407" s="1"/>
  <c r="E408" s="1"/>
  <c r="E409" s="1"/>
  <c r="E410" s="1"/>
  <c r="E411" s="1"/>
  <c r="E412" s="1"/>
  <c r="E413" s="1"/>
  <c r="E414" s="1"/>
  <c r="E415" s="1"/>
  <c r="E416" s="1"/>
  <c r="E417" s="1"/>
  <c r="E418" s="1"/>
  <c r="E419" s="1"/>
  <c r="E420" s="1"/>
  <c r="E421" s="1"/>
  <c r="E422" s="1"/>
  <c r="E423" s="1"/>
  <c r="E424" s="1"/>
  <c r="E425" s="1"/>
  <c r="E426" s="1"/>
  <c r="E427" s="1"/>
  <c r="E428" s="1"/>
  <c r="E429" s="1"/>
  <c r="E430" s="1"/>
  <c r="E431" s="1"/>
  <c r="E432" s="1"/>
  <c r="E433" s="1"/>
  <c r="E434" s="1"/>
  <c r="E435" s="1"/>
  <c r="E436" s="1"/>
  <c r="E437" s="1"/>
  <c r="E438" s="1"/>
  <c r="E439" s="1"/>
  <c r="E440" s="1"/>
  <c r="E441" s="1"/>
  <c r="E442" s="1"/>
  <c r="E443" s="1"/>
  <c r="E444" s="1"/>
  <c r="E445" s="1"/>
  <c r="E446" s="1"/>
  <c r="E447" s="1"/>
  <c r="E448" s="1"/>
  <c r="E449" s="1"/>
  <c r="E450" s="1"/>
  <c r="E451" s="1"/>
  <c r="E452" s="1"/>
  <c r="E453" s="1"/>
  <c r="E454" s="1"/>
  <c r="E455" s="1"/>
  <c r="E456" s="1"/>
  <c r="E457" s="1"/>
  <c r="E458" s="1"/>
  <c r="E459" s="1"/>
  <c r="E460" s="1"/>
  <c r="E461" s="1"/>
  <c r="E462" s="1"/>
  <c r="E463" s="1"/>
  <c r="E464" s="1"/>
  <c r="E465" s="1"/>
  <c r="E466" s="1"/>
  <c r="E467" s="1"/>
  <c r="E468" s="1"/>
  <c r="E469" s="1"/>
  <c r="E470" s="1"/>
  <c r="E471" s="1"/>
  <c r="E472" s="1"/>
  <c r="E473" s="1"/>
  <c r="E474" s="1"/>
  <c r="E475" s="1"/>
  <c r="E476" s="1"/>
  <c r="E477" s="1"/>
  <c r="E478" s="1"/>
  <c r="E479" s="1"/>
  <c r="E480" s="1"/>
  <c r="E481" s="1"/>
  <c r="E482" s="1"/>
  <c r="E483" s="1"/>
  <c r="E484" s="1"/>
  <c r="E485" s="1"/>
  <c r="E486" s="1"/>
  <c r="E487" s="1"/>
  <c r="E488" s="1"/>
  <c r="E489" s="1"/>
  <c r="E490" s="1"/>
  <c r="E491" s="1"/>
  <c r="E492" s="1"/>
  <c r="E493" s="1"/>
  <c r="E494" s="1"/>
  <c r="E495" s="1"/>
  <c r="E496" s="1"/>
  <c r="E497" s="1"/>
  <c r="E498" s="1"/>
  <c r="E499" s="1"/>
  <c r="E500" s="1"/>
  <c r="E501" s="1"/>
  <c r="E502" s="1"/>
  <c r="E503" s="1"/>
  <c r="E504" s="1"/>
  <c r="E505" s="1"/>
  <c r="E506" s="1"/>
  <c r="E507" s="1"/>
  <c r="E508" s="1"/>
  <c r="E509" s="1"/>
  <c r="E510" s="1"/>
  <c r="E511" s="1"/>
  <c r="E512" s="1"/>
  <c r="E513" s="1"/>
  <c r="E514" s="1"/>
  <c r="E515" s="1"/>
  <c r="E516" s="1"/>
  <c r="E517" s="1"/>
  <c r="E518" s="1"/>
  <c r="E519" s="1"/>
  <c r="E520" s="1"/>
  <c r="E521" s="1"/>
  <c r="E522" s="1"/>
  <c r="E523" s="1"/>
  <c r="E524" s="1"/>
  <c r="E525" s="1"/>
  <c r="E526" s="1"/>
  <c r="E527" s="1"/>
  <c r="E528" s="1"/>
  <c r="E529" s="1"/>
  <c r="E530" s="1"/>
  <c r="E531" s="1"/>
  <c r="E532" s="1"/>
  <c r="E533" s="1"/>
  <c r="E534" s="1"/>
  <c r="E535" s="1"/>
  <c r="E536" s="1"/>
  <c r="E537" s="1"/>
  <c r="E538" s="1"/>
  <c r="E539" s="1"/>
  <c r="E540" s="1"/>
  <c r="E541" s="1"/>
  <c r="E542" s="1"/>
  <c r="E543" s="1"/>
  <c r="E544" s="1"/>
  <c r="E545" s="1"/>
  <c r="E546" s="1"/>
  <c r="E547" s="1"/>
  <c r="E548" s="1"/>
  <c r="E549" s="1"/>
  <c r="E550" s="1"/>
  <c r="E551" s="1"/>
  <c r="E552" s="1"/>
  <c r="E553" s="1"/>
  <c r="E554" s="1"/>
  <c r="E555" s="1"/>
  <c r="E556" s="1"/>
  <c r="E557" s="1"/>
  <c r="E558" s="1"/>
  <c r="E559" s="1"/>
  <c r="E560" s="1"/>
  <c r="E561" s="1"/>
  <c r="E562" s="1"/>
  <c r="E563" s="1"/>
  <c r="E564" s="1"/>
  <c r="E565" s="1"/>
  <c r="E566" s="1"/>
  <c r="E567" s="1"/>
  <c r="E568" s="1"/>
  <c r="E569" s="1"/>
  <c r="E570" s="1"/>
  <c r="E571" s="1"/>
  <c r="E572" s="1"/>
  <c r="E573" s="1"/>
  <c r="E574" s="1"/>
  <c r="E575" s="1"/>
  <c r="E576" s="1"/>
  <c r="E577" s="1"/>
  <c r="E578" s="1"/>
  <c r="E579" s="1"/>
  <c r="E580" s="1"/>
  <c r="E581" s="1"/>
  <c r="E582" s="1"/>
  <c r="E583" s="1"/>
  <c r="E584" s="1"/>
  <c r="E585" s="1"/>
  <c r="E586" s="1"/>
  <c r="E587" s="1"/>
  <c r="E588" s="1"/>
  <c r="E589" s="1"/>
  <c r="E590" s="1"/>
  <c r="E591" s="1"/>
  <c r="E592" s="1"/>
  <c r="E593" s="1"/>
  <c r="E594" s="1"/>
  <c r="E595" s="1"/>
  <c r="E596" s="1"/>
  <c r="E597" s="1"/>
  <c r="E598" s="1"/>
  <c r="E599" s="1"/>
  <c r="E600" s="1"/>
  <c r="E601" s="1"/>
  <c r="E602" s="1"/>
  <c r="E603" s="1"/>
  <c r="E604" s="1"/>
  <c r="E605" s="1"/>
  <c r="E606" s="1"/>
  <c r="E607" s="1"/>
  <c r="E608" s="1"/>
  <c r="E609" s="1"/>
  <c r="E610" s="1"/>
  <c r="E611" s="1"/>
  <c r="E612" s="1"/>
  <c r="E613" s="1"/>
  <c r="E614" s="1"/>
  <c r="E615" s="1"/>
  <c r="E616" s="1"/>
  <c r="E617" s="1"/>
  <c r="E618" s="1"/>
  <c r="E619" s="1"/>
  <c r="E620" s="1"/>
  <c r="E621" s="1"/>
  <c r="E622" s="1"/>
  <c r="E623" s="1"/>
  <c r="E624" s="1"/>
  <c r="E625" s="1"/>
  <c r="E626" s="1"/>
  <c r="E627" s="1"/>
  <c r="E628" s="1"/>
  <c r="E629" s="1"/>
  <c r="E630" s="1"/>
  <c r="E631" s="1"/>
  <c r="E632" s="1"/>
  <c r="E633" s="1"/>
  <c r="E634" s="1"/>
  <c r="E635" s="1"/>
  <c r="E636" s="1"/>
  <c r="E637" s="1"/>
  <c r="E638" s="1"/>
  <c r="E639" s="1"/>
  <c r="E640" s="1"/>
  <c r="E641" s="1"/>
  <c r="E642" s="1"/>
  <c r="E643" s="1"/>
  <c r="E644" s="1"/>
  <c r="E645" s="1"/>
  <c r="E646" s="1"/>
  <c r="E647" s="1"/>
  <c r="E648" s="1"/>
  <c r="E649" s="1"/>
  <c r="E650" s="1"/>
  <c r="E651" s="1"/>
  <c r="E652" s="1"/>
  <c r="E653" s="1"/>
  <c r="E654" s="1"/>
  <c r="E655" s="1"/>
  <c r="E656" s="1"/>
  <c r="E657" s="1"/>
  <c r="E658" s="1"/>
  <c r="E659" s="1"/>
  <c r="E660" s="1"/>
  <c r="E661" s="1"/>
  <c r="E662" s="1"/>
  <c r="E663" s="1"/>
  <c r="E664" s="1"/>
  <c r="E665" s="1"/>
  <c r="E666" s="1"/>
  <c r="E667" s="1"/>
  <c r="E668" s="1"/>
  <c r="E669" s="1"/>
  <c r="E670" s="1"/>
  <c r="E671" s="1"/>
  <c r="E672" s="1"/>
  <c r="E673" s="1"/>
  <c r="E674" s="1"/>
  <c r="E675" s="1"/>
  <c r="E676" s="1"/>
  <c r="E677" s="1"/>
  <c r="E678" s="1"/>
  <c r="E679" s="1"/>
  <c r="E680" s="1"/>
  <c r="E681" s="1"/>
  <c r="E682" s="1"/>
  <c r="E683" s="1"/>
  <c r="E684" s="1"/>
  <c r="E685" s="1"/>
  <c r="E686" s="1"/>
  <c r="E687" s="1"/>
  <c r="E688" s="1"/>
  <c r="E689" s="1"/>
  <c r="E690" s="1"/>
  <c r="E691" s="1"/>
  <c r="E692" s="1"/>
  <c r="E693" s="1"/>
  <c r="E694" s="1"/>
  <c r="E695" s="1"/>
  <c r="E696" s="1"/>
  <c r="E697" s="1"/>
  <c r="E698" s="1"/>
  <c r="E699" s="1"/>
  <c r="E700" s="1"/>
  <c r="E701" s="1"/>
  <c r="E702" s="1"/>
  <c r="E703" s="1"/>
  <c r="E704" s="1"/>
  <c r="E705" s="1"/>
  <c r="E706" s="1"/>
  <c r="E707" s="1"/>
  <c r="E708" s="1"/>
  <c r="E709" s="1"/>
  <c r="E710" s="1"/>
  <c r="E711" s="1"/>
  <c r="E712" s="1"/>
  <c r="E713" s="1"/>
  <c r="E714" s="1"/>
  <c r="E715" s="1"/>
  <c r="E716" s="1"/>
  <c r="E717" s="1"/>
  <c r="E718" s="1"/>
  <c r="E719" s="1"/>
  <c r="E720" s="1"/>
  <c r="E721" s="1"/>
  <c r="E722" s="1"/>
  <c r="E723" s="1"/>
  <c r="E724" s="1"/>
  <c r="E725" s="1"/>
  <c r="E726" s="1"/>
  <c r="E727" s="1"/>
  <c r="E728" s="1"/>
  <c r="E729" s="1"/>
  <c r="E730" s="1"/>
  <c r="E731" s="1"/>
  <c r="E732" s="1"/>
  <c r="E733" s="1"/>
  <c r="E734" s="1"/>
  <c r="E735" s="1"/>
  <c r="E736" s="1"/>
  <c r="E737" s="1"/>
  <c r="E738" s="1"/>
  <c r="E8"/>
  <c r="A27"/>
  <c r="A37" s="1"/>
  <c r="A47" s="1"/>
  <c r="A57" s="1"/>
  <c r="A67" s="1"/>
  <c r="A77" s="1"/>
  <c r="A87" s="1"/>
  <c r="A97" s="1"/>
  <c r="A107" s="1"/>
  <c r="A117" s="1"/>
  <c r="A127" s="1"/>
  <c r="A137" s="1"/>
  <c r="A147" s="1"/>
  <c r="A157" s="1"/>
  <c r="A167" s="1"/>
  <c r="A177" s="1"/>
  <c r="A187" s="1"/>
  <c r="A197" s="1"/>
  <c r="A207" s="1"/>
  <c r="A217" s="1"/>
  <c r="A227" s="1"/>
  <c r="A237" s="1"/>
  <c r="A247" s="1"/>
  <c r="A257" s="1"/>
  <c r="A267" s="1"/>
  <c r="A277" s="1"/>
  <c r="A26"/>
  <c r="A36" s="1"/>
  <c r="A46" s="1"/>
  <c r="A56" s="1"/>
  <c r="A66" s="1"/>
  <c r="A76" s="1"/>
  <c r="A86" s="1"/>
  <c r="A96" s="1"/>
  <c r="A106" s="1"/>
  <c r="A116" s="1"/>
  <c r="A126" s="1"/>
  <c r="A136" s="1"/>
  <c r="A146" s="1"/>
  <c r="A156" s="1"/>
  <c r="A166" s="1"/>
  <c r="A176" s="1"/>
  <c r="A186" s="1"/>
  <c r="A196" s="1"/>
  <c r="A206" s="1"/>
  <c r="A216" s="1"/>
  <c r="A226" s="1"/>
  <c r="A236" s="1"/>
  <c r="A246" s="1"/>
  <c r="A256" s="1"/>
  <c r="A266" s="1"/>
  <c r="A276" s="1"/>
  <c r="A286" s="1"/>
  <c r="A25"/>
  <c r="A35" s="1"/>
  <c r="A45" s="1"/>
  <c r="A55" s="1"/>
  <c r="A65" s="1"/>
  <c r="A75" s="1"/>
  <c r="A85" s="1"/>
  <c r="A95" s="1"/>
  <c r="A105" s="1"/>
  <c r="A115" s="1"/>
  <c r="A125" s="1"/>
  <c r="A135" s="1"/>
  <c r="A145" s="1"/>
  <c r="A155" s="1"/>
  <c r="A165" s="1"/>
  <c r="A175" s="1"/>
  <c r="A185" s="1"/>
  <c r="A195" s="1"/>
  <c r="A205" s="1"/>
  <c r="A215" s="1"/>
  <c r="A225" s="1"/>
  <c r="A235" s="1"/>
  <c r="A245" s="1"/>
  <c r="A255" s="1"/>
  <c r="A265" s="1"/>
  <c r="A275" s="1"/>
  <c r="A285" s="1"/>
  <c r="A24"/>
  <c r="A34" s="1"/>
  <c r="A44" s="1"/>
  <c r="A54" s="1"/>
  <c r="A64" s="1"/>
  <c r="A74" s="1"/>
  <c r="A84" s="1"/>
  <c r="A94" s="1"/>
  <c r="A104" s="1"/>
  <c r="A114" s="1"/>
  <c r="A124" s="1"/>
  <c r="A134" s="1"/>
  <c r="A144" s="1"/>
  <c r="A154" s="1"/>
  <c r="A164" s="1"/>
  <c r="A174" s="1"/>
  <c r="A184" s="1"/>
  <c r="A194" s="1"/>
  <c r="A204" s="1"/>
  <c r="A214" s="1"/>
  <c r="A224" s="1"/>
  <c r="A234" s="1"/>
  <c r="A244" s="1"/>
  <c r="A254" s="1"/>
  <c r="A264" s="1"/>
  <c r="A274" s="1"/>
  <c r="A284" s="1"/>
  <c r="A23"/>
  <c r="A33" s="1"/>
  <c r="A43" s="1"/>
  <c r="A53" s="1"/>
  <c r="A63" s="1"/>
  <c r="A73" s="1"/>
  <c r="A83" s="1"/>
  <c r="A93" s="1"/>
  <c r="A103" s="1"/>
  <c r="A113" s="1"/>
  <c r="A123" s="1"/>
  <c r="A133" s="1"/>
  <c r="A143" s="1"/>
  <c r="A153" s="1"/>
  <c r="A163" s="1"/>
  <c r="A173" s="1"/>
  <c r="A183" s="1"/>
  <c r="A193" s="1"/>
  <c r="A203" s="1"/>
  <c r="A213" s="1"/>
  <c r="A223" s="1"/>
  <c r="A233" s="1"/>
  <c r="A243" s="1"/>
  <c r="A253" s="1"/>
  <c r="A263" s="1"/>
  <c r="A273" s="1"/>
  <c r="A283" s="1"/>
  <c r="A22"/>
  <c r="A32" s="1"/>
  <c r="A42" s="1"/>
  <c r="A52" s="1"/>
  <c r="A62" s="1"/>
  <c r="A72" s="1"/>
  <c r="A82" s="1"/>
  <c r="A92" s="1"/>
  <c r="A102" s="1"/>
  <c r="A112" s="1"/>
  <c r="A122" s="1"/>
  <c r="A132" s="1"/>
  <c r="A142" s="1"/>
  <c r="A152" s="1"/>
  <c r="A162" s="1"/>
  <c r="A172" s="1"/>
  <c r="A182" s="1"/>
  <c r="A192" s="1"/>
  <c r="A202" s="1"/>
  <c r="A212" s="1"/>
  <c r="A222" s="1"/>
  <c r="A232" s="1"/>
  <c r="A242" s="1"/>
  <c r="A252" s="1"/>
  <c r="A262" s="1"/>
  <c r="A272" s="1"/>
  <c r="A282" s="1"/>
  <c r="A21"/>
  <c r="A31" s="1"/>
  <c r="A41" s="1"/>
  <c r="A51" s="1"/>
  <c r="A61" s="1"/>
  <c r="A71" s="1"/>
  <c r="A81" s="1"/>
  <c r="A91" s="1"/>
  <c r="A101" s="1"/>
  <c r="A111" s="1"/>
  <c r="A121" s="1"/>
  <c r="A131" s="1"/>
  <c r="A141" s="1"/>
  <c r="A151" s="1"/>
  <c r="A161" s="1"/>
  <c r="A171" s="1"/>
  <c r="A181" s="1"/>
  <c r="A191" s="1"/>
  <c r="A201" s="1"/>
  <c r="A211" s="1"/>
  <c r="A221" s="1"/>
  <c r="A231" s="1"/>
  <c r="A241" s="1"/>
  <c r="A251" s="1"/>
  <c r="A261" s="1"/>
  <c r="A271" s="1"/>
  <c r="A281" s="1"/>
  <c r="A20"/>
  <c r="A30" s="1"/>
  <c r="A40" s="1"/>
  <c r="A50" s="1"/>
  <c r="A60" s="1"/>
  <c r="A70" s="1"/>
  <c r="A80" s="1"/>
  <c r="A90" s="1"/>
  <c r="A100" s="1"/>
  <c r="A110" s="1"/>
  <c r="A120" s="1"/>
  <c r="A130" s="1"/>
  <c r="A140" s="1"/>
  <c r="A150" s="1"/>
  <c r="A160" s="1"/>
  <c r="A170" s="1"/>
  <c r="A180" s="1"/>
  <c r="A190" s="1"/>
  <c r="A200" s="1"/>
  <c r="A210" s="1"/>
  <c r="A220" s="1"/>
  <c r="A230" s="1"/>
  <c r="A240" s="1"/>
  <c r="A250" s="1"/>
  <c r="A260" s="1"/>
  <c r="A270" s="1"/>
  <c r="A280" s="1"/>
  <c r="A19"/>
  <c r="A29" s="1"/>
  <c r="A39" s="1"/>
  <c r="A49" s="1"/>
  <c r="A59" s="1"/>
  <c r="A69" s="1"/>
  <c r="A79" s="1"/>
  <c r="A89" s="1"/>
  <c r="A99" s="1"/>
  <c r="A109" s="1"/>
  <c r="A119" s="1"/>
  <c r="A129" s="1"/>
  <c r="A139" s="1"/>
  <c r="A149" s="1"/>
  <c r="A159" s="1"/>
  <c r="A169" s="1"/>
  <c r="A179" s="1"/>
  <c r="A189" s="1"/>
  <c r="A199" s="1"/>
  <c r="A209" s="1"/>
  <c r="A219" s="1"/>
  <c r="A229" s="1"/>
  <c r="A239" s="1"/>
  <c r="A249" s="1"/>
  <c r="A259" s="1"/>
  <c r="A269" s="1"/>
  <c r="A279" s="1"/>
  <c r="A18"/>
  <c r="A28" s="1"/>
  <c r="A38" s="1"/>
  <c r="A48" s="1"/>
  <c r="A58" s="1"/>
  <c r="A68" s="1"/>
  <c r="A78" s="1"/>
  <c r="A88" s="1"/>
  <c r="A98" s="1"/>
  <c r="A108" s="1"/>
  <c r="A118" s="1"/>
  <c r="A128" s="1"/>
  <c r="A138" s="1"/>
  <c r="A148" s="1"/>
  <c r="A158" s="1"/>
  <c r="A168" s="1"/>
  <c r="A178" s="1"/>
  <c r="A188" s="1"/>
  <c r="A198" s="1"/>
  <c r="A208" s="1"/>
  <c r="A218" s="1"/>
  <c r="A228" s="1"/>
  <c r="A238" s="1"/>
  <c r="A248" s="1"/>
  <c r="A258" s="1"/>
  <c r="A268" s="1"/>
  <c r="A278" s="1"/>
  <c r="B17"/>
  <c r="B27" s="1"/>
  <c r="B37" s="1"/>
  <c r="B47" s="1"/>
  <c r="B57" s="1"/>
  <c r="B67" s="1"/>
  <c r="B77" s="1"/>
  <c r="B87" s="1"/>
  <c r="B97" s="1"/>
  <c r="B107" s="1"/>
  <c r="B117" s="1"/>
  <c r="B127" s="1"/>
  <c r="B137" s="1"/>
  <c r="B147" s="1"/>
  <c r="B157" s="1"/>
  <c r="B167" s="1"/>
  <c r="B177" s="1"/>
  <c r="B187" s="1"/>
  <c r="B197" s="1"/>
  <c r="B207" s="1"/>
  <c r="B217" s="1"/>
  <c r="B227" s="1"/>
  <c r="B237" s="1"/>
  <c r="B247" s="1"/>
  <c r="B257" s="1"/>
  <c r="B267" s="1"/>
  <c r="B277" s="1"/>
  <c r="A17"/>
  <c r="B9"/>
  <c r="B19" s="1"/>
  <c r="B29" s="1"/>
  <c r="B39" s="1"/>
  <c r="B49" s="1"/>
  <c r="B59" s="1"/>
  <c r="B69" s="1"/>
  <c r="B79" s="1"/>
  <c r="B89" s="1"/>
  <c r="B99" s="1"/>
  <c r="B109" s="1"/>
  <c r="B119" s="1"/>
  <c r="B129" s="1"/>
  <c r="B139" s="1"/>
  <c r="B149" s="1"/>
  <c r="B159" s="1"/>
  <c r="B169" s="1"/>
  <c r="B179" s="1"/>
  <c r="B189" s="1"/>
  <c r="B199" s="1"/>
  <c r="B209" s="1"/>
  <c r="B219" s="1"/>
  <c r="B229" s="1"/>
  <c r="B239" s="1"/>
  <c r="B249" s="1"/>
  <c r="B259" s="1"/>
  <c r="B269" s="1"/>
  <c r="B279" s="1"/>
  <c r="C8"/>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137" s="1"/>
  <c r="C138" s="1"/>
  <c r="C139" s="1"/>
  <c r="C140" s="1"/>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C170" s="1"/>
  <c r="C171" s="1"/>
  <c r="C172" s="1"/>
  <c r="C173" s="1"/>
  <c r="C174" s="1"/>
  <c r="C175" s="1"/>
  <c r="C176" s="1"/>
  <c r="C177" s="1"/>
  <c r="C178" s="1"/>
  <c r="C179" s="1"/>
  <c r="C180" s="1"/>
  <c r="C181" s="1"/>
  <c r="C182" s="1"/>
  <c r="C183" s="1"/>
  <c r="C184" s="1"/>
  <c r="C185" s="1"/>
  <c r="C186" s="1"/>
  <c r="C187" s="1"/>
  <c r="C188" s="1"/>
  <c r="C189" s="1"/>
  <c r="C190" s="1"/>
  <c r="C191" s="1"/>
  <c r="C192" s="1"/>
  <c r="C193" s="1"/>
  <c r="C194" s="1"/>
  <c r="C195" s="1"/>
  <c r="C196" s="1"/>
  <c r="C197" s="1"/>
  <c r="C198" s="1"/>
  <c r="C199" s="1"/>
  <c r="C200" s="1"/>
  <c r="C201" s="1"/>
  <c r="C202" s="1"/>
  <c r="C203" s="1"/>
  <c r="C204" s="1"/>
  <c r="C205" s="1"/>
  <c r="C206" s="1"/>
  <c r="C207" s="1"/>
  <c r="C208" s="1"/>
  <c r="C209" s="1"/>
  <c r="C210" s="1"/>
  <c r="C211" s="1"/>
  <c r="C212" s="1"/>
  <c r="C213" s="1"/>
  <c r="C214" s="1"/>
  <c r="C215" s="1"/>
  <c r="C216" s="1"/>
  <c r="C217" s="1"/>
  <c r="C218" s="1"/>
  <c r="C219" s="1"/>
  <c r="C220" s="1"/>
  <c r="C221" s="1"/>
  <c r="C222" s="1"/>
  <c r="C223" s="1"/>
  <c r="C224" s="1"/>
  <c r="C225" s="1"/>
  <c r="C226" s="1"/>
  <c r="C227" s="1"/>
  <c r="C228" s="1"/>
  <c r="C229" s="1"/>
  <c r="C230" s="1"/>
  <c r="C231" s="1"/>
  <c r="C232" s="1"/>
  <c r="C233" s="1"/>
  <c r="C234" s="1"/>
  <c r="C235" s="1"/>
  <c r="C236" s="1"/>
  <c r="C237" s="1"/>
  <c r="C238" s="1"/>
  <c r="C239" s="1"/>
  <c r="C240" s="1"/>
  <c r="C241" s="1"/>
  <c r="C242" s="1"/>
  <c r="C243" s="1"/>
  <c r="C244" s="1"/>
  <c r="C245" s="1"/>
  <c r="C246" s="1"/>
  <c r="C247" s="1"/>
  <c r="C248" s="1"/>
  <c r="C249" s="1"/>
  <c r="C250" s="1"/>
  <c r="C251" s="1"/>
  <c r="C252" s="1"/>
  <c r="C253" s="1"/>
  <c r="C254" s="1"/>
  <c r="C255" s="1"/>
  <c r="C256" s="1"/>
  <c r="C257" s="1"/>
  <c r="C258" s="1"/>
  <c r="C259" s="1"/>
  <c r="C260" s="1"/>
  <c r="C261" s="1"/>
  <c r="C262" s="1"/>
  <c r="C263" s="1"/>
  <c r="C264" s="1"/>
  <c r="C265" s="1"/>
  <c r="C266" s="1"/>
  <c r="C267" s="1"/>
  <c r="C268" s="1"/>
  <c r="C269" s="1"/>
  <c r="C270" s="1"/>
  <c r="C271" s="1"/>
  <c r="C272" s="1"/>
  <c r="C273" s="1"/>
  <c r="C274" s="1"/>
  <c r="C275" s="1"/>
  <c r="C276" s="1"/>
  <c r="C277" s="1"/>
  <c r="C278" s="1"/>
  <c r="C279" s="1"/>
  <c r="C280" s="1"/>
  <c r="C281" s="1"/>
  <c r="C282" s="1"/>
  <c r="C283" s="1"/>
  <c r="C284" s="1"/>
  <c r="C285" s="1"/>
  <c r="C286" s="1"/>
  <c r="C287" s="1"/>
  <c r="C288" s="1"/>
  <c r="C289" s="1"/>
  <c r="C290" s="1"/>
  <c r="C291" s="1"/>
  <c r="C292" s="1"/>
  <c r="C293" s="1"/>
  <c r="C294" s="1"/>
  <c r="C295" s="1"/>
  <c r="C296" s="1"/>
  <c r="C297" s="1"/>
  <c r="C298" s="1"/>
  <c r="C299" s="1"/>
  <c r="C300" s="1"/>
  <c r="C301" s="1"/>
  <c r="C302" s="1"/>
  <c r="C303" s="1"/>
  <c r="C304" s="1"/>
  <c r="C305" s="1"/>
  <c r="C306" s="1"/>
  <c r="C307" s="1"/>
  <c r="C308" s="1"/>
  <c r="C309" s="1"/>
  <c r="C310" s="1"/>
  <c r="C311" s="1"/>
  <c r="C312" s="1"/>
  <c r="C313" s="1"/>
  <c r="C314" s="1"/>
  <c r="C315" s="1"/>
  <c r="C316" s="1"/>
  <c r="C317" s="1"/>
  <c r="C318" s="1"/>
  <c r="C319" s="1"/>
  <c r="C320" s="1"/>
  <c r="C321" s="1"/>
  <c r="C322" s="1"/>
  <c r="C323" s="1"/>
  <c r="C324" s="1"/>
  <c r="C325" s="1"/>
  <c r="C326" s="1"/>
  <c r="C327" s="1"/>
  <c r="C328" s="1"/>
  <c r="C329" s="1"/>
  <c r="C330" s="1"/>
  <c r="C331" s="1"/>
  <c r="C332" s="1"/>
  <c r="C333" s="1"/>
  <c r="C334" s="1"/>
  <c r="C335" s="1"/>
  <c r="C336" s="1"/>
  <c r="C337" s="1"/>
  <c r="C338" s="1"/>
  <c r="C339" s="1"/>
  <c r="C340" s="1"/>
  <c r="C341" s="1"/>
  <c r="C342" s="1"/>
  <c r="C343" s="1"/>
  <c r="C344" s="1"/>
  <c r="C345" s="1"/>
  <c r="C346" s="1"/>
  <c r="C347" s="1"/>
  <c r="C348" s="1"/>
  <c r="C349" s="1"/>
  <c r="C350" s="1"/>
  <c r="C351" s="1"/>
  <c r="C352" s="1"/>
  <c r="C353" s="1"/>
  <c r="C354" s="1"/>
  <c r="C355" s="1"/>
  <c r="C356" s="1"/>
  <c r="C357" s="1"/>
  <c r="C358" s="1"/>
  <c r="C359" s="1"/>
  <c r="C360" s="1"/>
  <c r="C361" s="1"/>
  <c r="C362" s="1"/>
  <c r="C363" s="1"/>
  <c r="C364" s="1"/>
  <c r="C365" s="1"/>
  <c r="C366" s="1"/>
  <c r="C367" s="1"/>
  <c r="C368" s="1"/>
  <c r="C369" s="1"/>
  <c r="C370" s="1"/>
  <c r="C371" s="1"/>
  <c r="C372" s="1"/>
  <c r="C373" s="1"/>
  <c r="C374" s="1"/>
  <c r="C375" s="1"/>
  <c r="C376" s="1"/>
  <c r="C377" s="1"/>
  <c r="C378" s="1"/>
  <c r="C379" s="1"/>
  <c r="C380" s="1"/>
  <c r="C381" s="1"/>
  <c r="C382" s="1"/>
  <c r="C383" s="1"/>
  <c r="C384" s="1"/>
  <c r="C385" s="1"/>
  <c r="C386" s="1"/>
  <c r="C387" s="1"/>
  <c r="C388" s="1"/>
  <c r="C389" s="1"/>
  <c r="C390" s="1"/>
  <c r="C391" s="1"/>
  <c r="C392" s="1"/>
  <c r="C393" s="1"/>
  <c r="C394" s="1"/>
  <c r="C395" s="1"/>
  <c r="C396" s="1"/>
  <c r="C397" s="1"/>
  <c r="C398" s="1"/>
  <c r="C399" s="1"/>
  <c r="C400" s="1"/>
  <c r="C401" s="1"/>
  <c r="C402" s="1"/>
  <c r="C403" s="1"/>
  <c r="C404" s="1"/>
  <c r="C405" s="1"/>
  <c r="C406" s="1"/>
  <c r="C407" s="1"/>
  <c r="C408" s="1"/>
  <c r="C409" s="1"/>
  <c r="C410" s="1"/>
  <c r="C411" s="1"/>
  <c r="C412" s="1"/>
  <c r="C413" s="1"/>
  <c r="C414" s="1"/>
  <c r="C415" s="1"/>
  <c r="C416" s="1"/>
  <c r="C417" s="1"/>
  <c r="C418" s="1"/>
  <c r="C419" s="1"/>
  <c r="C420" s="1"/>
  <c r="C421" s="1"/>
  <c r="C422" s="1"/>
  <c r="C423" s="1"/>
  <c r="C424" s="1"/>
  <c r="C425" s="1"/>
  <c r="C426" s="1"/>
  <c r="C427" s="1"/>
  <c r="C428" s="1"/>
  <c r="C429" s="1"/>
  <c r="C430" s="1"/>
  <c r="C431" s="1"/>
  <c r="C432" s="1"/>
  <c r="C433" s="1"/>
  <c r="C434" s="1"/>
  <c r="C435" s="1"/>
  <c r="C436" s="1"/>
  <c r="C437" s="1"/>
  <c r="C438" s="1"/>
  <c r="C439" s="1"/>
  <c r="C440" s="1"/>
  <c r="C441" s="1"/>
  <c r="C442" s="1"/>
  <c r="C443" s="1"/>
  <c r="C444" s="1"/>
  <c r="C445" s="1"/>
  <c r="C446" s="1"/>
  <c r="C447" s="1"/>
  <c r="C448" s="1"/>
  <c r="C449" s="1"/>
  <c r="C450" s="1"/>
  <c r="C451" s="1"/>
  <c r="C452" s="1"/>
  <c r="C453" s="1"/>
  <c r="C454" s="1"/>
  <c r="C455" s="1"/>
  <c r="C456" s="1"/>
  <c r="C457" s="1"/>
  <c r="C458" s="1"/>
  <c r="C459" s="1"/>
  <c r="C460" s="1"/>
  <c r="C461" s="1"/>
  <c r="C462" s="1"/>
  <c r="C463" s="1"/>
  <c r="C464" s="1"/>
  <c r="C465" s="1"/>
  <c r="C466" s="1"/>
  <c r="C467" s="1"/>
  <c r="C468" s="1"/>
  <c r="C469" s="1"/>
  <c r="C470" s="1"/>
  <c r="C471" s="1"/>
  <c r="C472" s="1"/>
  <c r="C473" s="1"/>
  <c r="C474" s="1"/>
  <c r="C475" s="1"/>
  <c r="C476" s="1"/>
  <c r="C477" s="1"/>
  <c r="C478" s="1"/>
  <c r="C479" s="1"/>
  <c r="C480" s="1"/>
  <c r="C481" s="1"/>
  <c r="C482" s="1"/>
  <c r="C483" s="1"/>
  <c r="C484" s="1"/>
  <c r="C485" s="1"/>
  <c r="C486" s="1"/>
  <c r="C487" s="1"/>
  <c r="C488" s="1"/>
  <c r="C489" s="1"/>
  <c r="C490" s="1"/>
  <c r="C491" s="1"/>
  <c r="C492" s="1"/>
  <c r="C493" s="1"/>
  <c r="C494" s="1"/>
  <c r="C495" s="1"/>
  <c r="C496" s="1"/>
  <c r="C497" s="1"/>
  <c r="C498" s="1"/>
  <c r="C499" s="1"/>
  <c r="C500" s="1"/>
  <c r="C501" s="1"/>
  <c r="C502" s="1"/>
  <c r="C503" s="1"/>
  <c r="C504" s="1"/>
  <c r="C505" s="1"/>
  <c r="C506" s="1"/>
  <c r="C507" s="1"/>
  <c r="C508" s="1"/>
  <c r="C509" s="1"/>
  <c r="C510" s="1"/>
  <c r="C511" s="1"/>
  <c r="C512" s="1"/>
  <c r="C513" s="1"/>
  <c r="C514" s="1"/>
  <c r="C515" s="1"/>
  <c r="C516" s="1"/>
  <c r="C517" s="1"/>
  <c r="C518" s="1"/>
  <c r="C519" s="1"/>
  <c r="C520" s="1"/>
  <c r="C521" s="1"/>
  <c r="C522" s="1"/>
  <c r="C523" s="1"/>
  <c r="C524" s="1"/>
  <c r="C525" s="1"/>
  <c r="C526" s="1"/>
  <c r="C527" s="1"/>
  <c r="C528" s="1"/>
  <c r="C529" s="1"/>
  <c r="C530" s="1"/>
  <c r="C531" s="1"/>
  <c r="C532" s="1"/>
  <c r="C533" s="1"/>
  <c r="C534" s="1"/>
  <c r="C535" s="1"/>
  <c r="C536" s="1"/>
  <c r="C537" s="1"/>
  <c r="C538" s="1"/>
  <c r="C539" s="1"/>
  <c r="C540" s="1"/>
  <c r="C541" s="1"/>
  <c r="C542" s="1"/>
  <c r="C543" s="1"/>
  <c r="C544" s="1"/>
  <c r="C545" s="1"/>
  <c r="C546" s="1"/>
  <c r="C547" s="1"/>
  <c r="C548" s="1"/>
  <c r="C549" s="1"/>
  <c r="C550" s="1"/>
  <c r="C551" s="1"/>
  <c r="C552" s="1"/>
  <c r="C553" s="1"/>
  <c r="C554" s="1"/>
  <c r="C555" s="1"/>
  <c r="C556" s="1"/>
  <c r="C557" s="1"/>
  <c r="C558" s="1"/>
  <c r="C559" s="1"/>
  <c r="C560" s="1"/>
  <c r="C561" s="1"/>
  <c r="C562" s="1"/>
  <c r="C563" s="1"/>
  <c r="C564" s="1"/>
  <c r="C565" s="1"/>
  <c r="C566" s="1"/>
  <c r="C567" s="1"/>
  <c r="C568" s="1"/>
  <c r="C569" s="1"/>
  <c r="C570" s="1"/>
  <c r="C571" s="1"/>
  <c r="C572" s="1"/>
  <c r="C573" s="1"/>
  <c r="C574" s="1"/>
  <c r="C575" s="1"/>
  <c r="C576" s="1"/>
  <c r="C577" s="1"/>
  <c r="C578" s="1"/>
  <c r="C579" s="1"/>
  <c r="C580" s="1"/>
  <c r="C581" s="1"/>
  <c r="C582" s="1"/>
  <c r="C583" s="1"/>
  <c r="C584" s="1"/>
  <c r="C585" s="1"/>
  <c r="C586" s="1"/>
  <c r="C587" s="1"/>
  <c r="C588" s="1"/>
  <c r="C589" s="1"/>
  <c r="C590" s="1"/>
  <c r="C591" s="1"/>
  <c r="C592" s="1"/>
  <c r="C593" s="1"/>
  <c r="C594" s="1"/>
  <c r="C595" s="1"/>
  <c r="C596" s="1"/>
  <c r="C597" s="1"/>
  <c r="C598" s="1"/>
  <c r="C599" s="1"/>
  <c r="C600" s="1"/>
  <c r="C601" s="1"/>
  <c r="C602" s="1"/>
  <c r="C603" s="1"/>
  <c r="C604" s="1"/>
  <c r="C605" s="1"/>
  <c r="C606" s="1"/>
  <c r="C607" s="1"/>
  <c r="C608" s="1"/>
  <c r="C609" s="1"/>
  <c r="C610" s="1"/>
  <c r="C611" s="1"/>
  <c r="C612" s="1"/>
  <c r="C613" s="1"/>
  <c r="C614" s="1"/>
  <c r="C615" s="1"/>
  <c r="C616" s="1"/>
  <c r="C617" s="1"/>
  <c r="C618" s="1"/>
  <c r="C619" s="1"/>
  <c r="C620" s="1"/>
  <c r="C621" s="1"/>
  <c r="C622" s="1"/>
  <c r="C623" s="1"/>
  <c r="C624" s="1"/>
  <c r="C625" s="1"/>
  <c r="C626" s="1"/>
  <c r="C627" s="1"/>
  <c r="C628" s="1"/>
  <c r="C629" s="1"/>
  <c r="C630" s="1"/>
  <c r="C631" s="1"/>
  <c r="C632" s="1"/>
  <c r="C633" s="1"/>
  <c r="C634" s="1"/>
  <c r="C635" s="1"/>
  <c r="C636" s="1"/>
  <c r="C637" s="1"/>
  <c r="C638" s="1"/>
  <c r="C639" s="1"/>
  <c r="C640" s="1"/>
  <c r="C641" s="1"/>
  <c r="C642" s="1"/>
  <c r="C643" s="1"/>
  <c r="C644" s="1"/>
  <c r="C645" s="1"/>
  <c r="C646" s="1"/>
  <c r="C647" s="1"/>
  <c r="C648" s="1"/>
  <c r="C649" s="1"/>
  <c r="C650" s="1"/>
  <c r="C651" s="1"/>
  <c r="C652" s="1"/>
  <c r="C653" s="1"/>
  <c r="C654" s="1"/>
  <c r="C655" s="1"/>
  <c r="C656" s="1"/>
  <c r="C657" s="1"/>
  <c r="C658" s="1"/>
  <c r="C659" s="1"/>
  <c r="C660" s="1"/>
  <c r="C661" s="1"/>
  <c r="C662" s="1"/>
  <c r="C663" s="1"/>
  <c r="C664" s="1"/>
  <c r="C665" s="1"/>
  <c r="C666" s="1"/>
  <c r="C667" s="1"/>
  <c r="C668" s="1"/>
  <c r="C669" s="1"/>
  <c r="C670" s="1"/>
  <c r="C671" s="1"/>
  <c r="C672" s="1"/>
  <c r="C673" s="1"/>
  <c r="C674" s="1"/>
  <c r="C675" s="1"/>
  <c r="C676" s="1"/>
  <c r="C677" s="1"/>
  <c r="C678" s="1"/>
  <c r="C679" s="1"/>
  <c r="C680" s="1"/>
  <c r="C681" s="1"/>
  <c r="C682" s="1"/>
  <c r="C683" s="1"/>
  <c r="C684" s="1"/>
  <c r="C685" s="1"/>
  <c r="C686" s="1"/>
  <c r="C687" s="1"/>
  <c r="C688" s="1"/>
  <c r="C689" s="1"/>
  <c r="C690" s="1"/>
  <c r="C691" s="1"/>
  <c r="C692" s="1"/>
  <c r="C693" s="1"/>
  <c r="C694" s="1"/>
  <c r="C695" s="1"/>
  <c r="C696" s="1"/>
  <c r="C697" s="1"/>
  <c r="C698" s="1"/>
  <c r="C699" s="1"/>
  <c r="C700" s="1"/>
  <c r="C701" s="1"/>
  <c r="C702" s="1"/>
  <c r="C703" s="1"/>
  <c r="C704" s="1"/>
  <c r="C705" s="1"/>
  <c r="C706" s="1"/>
  <c r="C707" s="1"/>
  <c r="C708" s="1"/>
  <c r="C709" s="1"/>
  <c r="C710" s="1"/>
  <c r="C711" s="1"/>
  <c r="C712" s="1"/>
  <c r="C713" s="1"/>
  <c r="C714" s="1"/>
  <c r="C715" s="1"/>
  <c r="C716" s="1"/>
  <c r="C717" s="1"/>
  <c r="C718" s="1"/>
  <c r="C719" s="1"/>
  <c r="C720" s="1"/>
  <c r="C721" s="1"/>
  <c r="C722" s="1"/>
  <c r="C723" s="1"/>
  <c r="C724" s="1"/>
  <c r="C725" s="1"/>
  <c r="C726" s="1"/>
  <c r="C727" s="1"/>
  <c r="C728" s="1"/>
  <c r="C729" s="1"/>
  <c r="C730" s="1"/>
  <c r="C731" s="1"/>
  <c r="C732" s="1"/>
  <c r="C733" s="1"/>
  <c r="C734" s="1"/>
  <c r="C735" s="1"/>
  <c r="C736" s="1"/>
  <c r="C737" s="1"/>
  <c r="C738" s="1"/>
  <c r="B8"/>
  <c r="B18" s="1"/>
  <c r="B28" s="1"/>
  <c r="B38" s="1"/>
  <c r="B48" s="1"/>
  <c r="B58" s="1"/>
  <c r="B68" s="1"/>
  <c r="B78" s="1"/>
  <c r="B88" s="1"/>
  <c r="B98" s="1"/>
  <c r="B108" s="1"/>
  <c r="B118" s="1"/>
  <c r="B128" s="1"/>
  <c r="B138" s="1"/>
  <c r="B148" s="1"/>
  <c r="B158" s="1"/>
  <c r="B168" s="1"/>
  <c r="B178" s="1"/>
  <c r="B188" s="1"/>
  <c r="B198" s="1"/>
  <c r="B208" s="1"/>
  <c r="B218" s="1"/>
  <c r="B228" s="1"/>
  <c r="B238" s="1"/>
  <c r="B248" s="1"/>
  <c r="B258" s="1"/>
  <c r="B268" s="1"/>
  <c r="B278" s="1"/>
  <c r="H7"/>
  <c r="F7"/>
  <c r="I6"/>
  <c r="J6" s="1"/>
  <c r="H6"/>
  <c r="G6"/>
  <c r="G7" s="1"/>
  <c r="P19" i="7"/>
  <c r="Q19"/>
  <c r="P20"/>
  <c r="Q20"/>
  <c r="P21"/>
  <c r="Q21"/>
  <c r="P22"/>
  <c r="Q22"/>
  <c r="P23"/>
  <c r="Q23"/>
  <c r="P24"/>
  <c r="Q24"/>
  <c r="P25"/>
  <c r="Q25"/>
  <c r="P26"/>
  <c r="Q26"/>
  <c r="P27"/>
  <c r="Q27"/>
  <c r="P28"/>
  <c r="Q28"/>
  <c r="P29"/>
  <c r="Q29"/>
  <c r="P30"/>
  <c r="Q30"/>
  <c r="P31"/>
  <c r="Q31"/>
  <c r="P32"/>
  <c r="Q32"/>
  <c r="P33"/>
  <c r="Q33"/>
  <c r="P34"/>
  <c r="Q34"/>
  <c r="P35"/>
  <c r="Q35"/>
  <c r="P36"/>
  <c r="Q36"/>
  <c r="P37"/>
  <c r="Q37"/>
  <c r="P38"/>
  <c r="Q38"/>
  <c r="P39"/>
  <c r="Q39"/>
  <c r="P40"/>
  <c r="Q40"/>
  <c r="P41"/>
  <c r="Q41"/>
  <c r="P42"/>
  <c r="Q42"/>
  <c r="P43"/>
  <c r="Q43"/>
  <c r="P44"/>
  <c r="Q44"/>
  <c r="P45"/>
  <c r="Q45"/>
  <c r="P46"/>
  <c r="Q46"/>
  <c r="P47"/>
  <c r="Q47"/>
  <c r="P48"/>
  <c r="Q48"/>
  <c r="P49"/>
  <c r="Q49"/>
  <c r="P50"/>
  <c r="Q50"/>
  <c r="P51"/>
  <c r="Q51"/>
  <c r="P52"/>
  <c r="Q52"/>
  <c r="P53"/>
  <c r="Q53"/>
  <c r="P54"/>
  <c r="Q54"/>
  <c r="P55"/>
  <c r="Q55"/>
  <c r="P56"/>
  <c r="Q56"/>
  <c r="P57"/>
  <c r="Q57"/>
  <c r="P58"/>
  <c r="Q58"/>
  <c r="P59"/>
  <c r="Q59"/>
  <c r="P60"/>
  <c r="Q60"/>
  <c r="P61"/>
  <c r="Q61"/>
  <c r="P62"/>
  <c r="Q62"/>
  <c r="P63"/>
  <c r="Q63"/>
  <c r="P64"/>
  <c r="Q64"/>
  <c r="P65"/>
  <c r="Q65"/>
  <c r="P66"/>
  <c r="Q66"/>
  <c r="P67"/>
  <c r="Q67"/>
  <c r="Q11"/>
  <c r="P11"/>
  <c r="O11"/>
  <c r="N11"/>
  <c r="M11"/>
  <c r="L11"/>
  <c r="K11"/>
  <c r="J11"/>
  <c r="I11"/>
  <c r="Q10"/>
  <c r="P10"/>
  <c r="O10"/>
  <c r="N10"/>
  <c r="M10"/>
  <c r="L10"/>
  <c r="K10"/>
  <c r="J10"/>
  <c r="I10"/>
  <c r="Q9"/>
  <c r="P9"/>
  <c r="O9"/>
  <c r="N9"/>
  <c r="M9"/>
  <c r="L9"/>
  <c r="K9"/>
  <c r="J9"/>
  <c r="I9"/>
  <c r="Q8"/>
  <c r="P8"/>
  <c r="O8"/>
  <c r="N8"/>
  <c r="M8"/>
  <c r="L8"/>
  <c r="K8"/>
  <c r="J8"/>
  <c r="I8"/>
  <c r="Q7"/>
  <c r="P7"/>
  <c r="O7"/>
  <c r="N7"/>
  <c r="M7"/>
  <c r="L7"/>
  <c r="K7"/>
  <c r="J7"/>
  <c r="I7"/>
  <c r="J12"/>
  <c r="K12"/>
  <c r="L12"/>
  <c r="M12"/>
  <c r="N12"/>
  <c r="O12"/>
  <c r="P12"/>
  <c r="Q12"/>
  <c r="E54"/>
  <c r="E55" s="1"/>
  <c r="E56" s="1"/>
  <c r="E57" s="1"/>
  <c r="E58" s="1"/>
  <c r="E59" s="1"/>
  <c r="E60" s="1"/>
  <c r="E61" s="1"/>
  <c r="E62" s="1"/>
  <c r="E63" s="1"/>
  <c r="E64" s="1"/>
  <c r="E65" s="1"/>
  <c r="E66" s="1"/>
  <c r="E67" s="1"/>
  <c r="E68" s="1"/>
  <c r="E69" s="1"/>
  <c r="E70" s="1"/>
  <c r="E71" s="1"/>
  <c r="E72" s="1"/>
  <c r="E73" s="1"/>
  <c r="E74" s="1"/>
  <c r="E75" s="1"/>
  <c r="E76" s="1"/>
  <c r="E77" s="1"/>
  <c r="E78" s="1"/>
  <c r="E79" s="1"/>
  <c r="E80" s="1"/>
  <c r="E81" s="1"/>
  <c r="E82" s="1"/>
  <c r="E83" s="1"/>
  <c r="E84" s="1"/>
  <c r="E85" s="1"/>
  <c r="E86" s="1"/>
  <c r="E87" s="1"/>
  <c r="E88" s="1"/>
  <c r="E89" s="1"/>
  <c r="E90" s="1"/>
  <c r="E91" s="1"/>
  <c r="E92" s="1"/>
  <c r="E93" s="1"/>
  <c r="E94" s="1"/>
  <c r="E95" s="1"/>
  <c r="E96" s="1"/>
  <c r="E97" s="1"/>
  <c r="E98" s="1"/>
  <c r="E99" s="1"/>
  <c r="E100" s="1"/>
  <c r="E101" s="1"/>
  <c r="E102" s="1"/>
  <c r="E103" s="1"/>
  <c r="E104" s="1"/>
  <c r="E105" s="1"/>
  <c r="E106" s="1"/>
  <c r="E107" s="1"/>
  <c r="E108" s="1"/>
  <c r="E109" s="1"/>
  <c r="E110" s="1"/>
  <c r="E111" s="1"/>
  <c r="E112" s="1"/>
  <c r="E113" s="1"/>
  <c r="E114" s="1"/>
  <c r="E115" s="1"/>
  <c r="E116" s="1"/>
  <c r="E117" s="1"/>
  <c r="E118" s="1"/>
  <c r="E119" s="1"/>
  <c r="E120" s="1"/>
  <c r="E121" s="1"/>
  <c r="E122" s="1"/>
  <c r="E123" s="1"/>
  <c r="E124" s="1"/>
  <c r="E125" s="1"/>
  <c r="E126" s="1"/>
  <c r="E127" s="1"/>
  <c r="E128" s="1"/>
  <c r="E129" s="1"/>
  <c r="E130" s="1"/>
  <c r="E131" s="1"/>
  <c r="E132" s="1"/>
  <c r="E133" s="1"/>
  <c r="E134" s="1"/>
  <c r="E135" s="1"/>
  <c r="E136" s="1"/>
  <c r="E137" s="1"/>
  <c r="E138" s="1"/>
  <c r="E139" s="1"/>
  <c r="E140" s="1"/>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E170" s="1"/>
  <c r="E171" s="1"/>
  <c r="E172" s="1"/>
  <c r="E173" s="1"/>
  <c r="E174" s="1"/>
  <c r="E175" s="1"/>
  <c r="E176" s="1"/>
  <c r="E177" s="1"/>
  <c r="E178" s="1"/>
  <c r="E179" s="1"/>
  <c r="E180" s="1"/>
  <c r="E181" s="1"/>
  <c r="E182" s="1"/>
  <c r="E183" s="1"/>
  <c r="E184" s="1"/>
  <c r="E185" s="1"/>
  <c r="E186" s="1"/>
  <c r="E187" s="1"/>
  <c r="E188" s="1"/>
  <c r="E189" s="1"/>
  <c r="E190" s="1"/>
  <c r="E191" s="1"/>
  <c r="E192" s="1"/>
  <c r="E193" s="1"/>
  <c r="E194" s="1"/>
  <c r="E195" s="1"/>
  <c r="E196" s="1"/>
  <c r="E197" s="1"/>
  <c r="E198" s="1"/>
  <c r="E199" s="1"/>
  <c r="E200" s="1"/>
  <c r="E201" s="1"/>
  <c r="E202" s="1"/>
  <c r="E203" s="1"/>
  <c r="E204" s="1"/>
  <c r="E205" s="1"/>
  <c r="E206" s="1"/>
  <c r="E207" s="1"/>
  <c r="E208" s="1"/>
  <c r="E209" s="1"/>
  <c r="E210" s="1"/>
  <c r="E211" s="1"/>
  <c r="E212" s="1"/>
  <c r="E213" s="1"/>
  <c r="E214" s="1"/>
  <c r="E215" s="1"/>
  <c r="E216" s="1"/>
  <c r="E217" s="1"/>
  <c r="E218" s="1"/>
  <c r="E219" s="1"/>
  <c r="E220" s="1"/>
  <c r="E221" s="1"/>
  <c r="E222" s="1"/>
  <c r="E223" s="1"/>
  <c r="E224" s="1"/>
  <c r="E225" s="1"/>
  <c r="E226" s="1"/>
  <c r="E227" s="1"/>
  <c r="E228" s="1"/>
  <c r="E229" s="1"/>
  <c r="E230" s="1"/>
  <c r="E231" s="1"/>
  <c r="E232" s="1"/>
  <c r="E233" s="1"/>
  <c r="E234" s="1"/>
  <c r="E235" s="1"/>
  <c r="E236" s="1"/>
  <c r="E237" s="1"/>
  <c r="E238" s="1"/>
  <c r="E239" s="1"/>
  <c r="E240" s="1"/>
  <c r="E241" s="1"/>
  <c r="E242" s="1"/>
  <c r="E243" s="1"/>
  <c r="E244" s="1"/>
  <c r="E245" s="1"/>
  <c r="E246" s="1"/>
  <c r="E247" s="1"/>
  <c r="E248" s="1"/>
  <c r="E249" s="1"/>
  <c r="E250" s="1"/>
  <c r="E251" s="1"/>
  <c r="E252" s="1"/>
  <c r="E253" s="1"/>
  <c r="E254" s="1"/>
  <c r="E255" s="1"/>
  <c r="E256" s="1"/>
  <c r="E257" s="1"/>
  <c r="E258" s="1"/>
  <c r="E259" s="1"/>
  <c r="E260" s="1"/>
  <c r="E261" s="1"/>
  <c r="E262" s="1"/>
  <c r="E263" s="1"/>
  <c r="E264" s="1"/>
  <c r="E265" s="1"/>
  <c r="E266" s="1"/>
  <c r="E267" s="1"/>
  <c r="E268" s="1"/>
  <c r="E269" s="1"/>
  <c r="E270" s="1"/>
  <c r="E271" s="1"/>
  <c r="E272" s="1"/>
  <c r="E273" s="1"/>
  <c r="E274" s="1"/>
  <c r="E275" s="1"/>
  <c r="E276" s="1"/>
  <c r="E277" s="1"/>
  <c r="E278" s="1"/>
  <c r="E279" s="1"/>
  <c r="E280" s="1"/>
  <c r="E281" s="1"/>
  <c r="E282" s="1"/>
  <c r="E283" s="1"/>
  <c r="E284" s="1"/>
  <c r="E285" s="1"/>
  <c r="E286" s="1"/>
  <c r="E287" s="1"/>
  <c r="E288" s="1"/>
  <c r="E289" s="1"/>
  <c r="E290" s="1"/>
  <c r="E291" s="1"/>
  <c r="E292" s="1"/>
  <c r="E293" s="1"/>
  <c r="E294" s="1"/>
  <c r="E295" s="1"/>
  <c r="E296" s="1"/>
  <c r="E297" s="1"/>
  <c r="E298" s="1"/>
  <c r="E299" s="1"/>
  <c r="E300" s="1"/>
  <c r="E301" s="1"/>
  <c r="E302" s="1"/>
  <c r="E303" s="1"/>
  <c r="E304" s="1"/>
  <c r="E305" s="1"/>
  <c r="E306" s="1"/>
  <c r="E307" s="1"/>
  <c r="E308" s="1"/>
  <c r="E309" s="1"/>
  <c r="E310" s="1"/>
  <c r="E311" s="1"/>
  <c r="E312" s="1"/>
  <c r="E313" s="1"/>
  <c r="E314" s="1"/>
  <c r="E315" s="1"/>
  <c r="E316" s="1"/>
  <c r="E317" s="1"/>
  <c r="E318" s="1"/>
  <c r="E319" s="1"/>
  <c r="E320" s="1"/>
  <c r="E321" s="1"/>
  <c r="E322" s="1"/>
  <c r="E323" s="1"/>
  <c r="E324" s="1"/>
  <c r="E325" s="1"/>
  <c r="E326" s="1"/>
  <c r="E327" s="1"/>
  <c r="E328" s="1"/>
  <c r="E329" s="1"/>
  <c r="E330" s="1"/>
  <c r="E331" s="1"/>
  <c r="E332" s="1"/>
  <c r="E333" s="1"/>
  <c r="E334" s="1"/>
  <c r="E335" s="1"/>
  <c r="E336" s="1"/>
  <c r="E337" s="1"/>
  <c r="E338" s="1"/>
  <c r="E339" s="1"/>
  <c r="E340" s="1"/>
  <c r="E341" s="1"/>
  <c r="E342" s="1"/>
  <c r="E343" s="1"/>
  <c r="E344" s="1"/>
  <c r="E345" s="1"/>
  <c r="E346" s="1"/>
  <c r="E347" s="1"/>
  <c r="E348" s="1"/>
  <c r="E349" s="1"/>
  <c r="E350" s="1"/>
  <c r="E351" s="1"/>
  <c r="E352" s="1"/>
  <c r="E353" s="1"/>
  <c r="E354" s="1"/>
  <c r="E355" s="1"/>
  <c r="E356" s="1"/>
  <c r="E357" s="1"/>
  <c r="E358" s="1"/>
  <c r="E359" s="1"/>
  <c r="E360" s="1"/>
  <c r="E361" s="1"/>
  <c r="E362" s="1"/>
  <c r="E363" s="1"/>
  <c r="E364" s="1"/>
  <c r="E365" s="1"/>
  <c r="E366" s="1"/>
  <c r="E367" s="1"/>
  <c r="E368" s="1"/>
  <c r="E369" s="1"/>
  <c r="E370" s="1"/>
  <c r="E371" s="1"/>
  <c r="E372" s="1"/>
  <c r="E373" s="1"/>
  <c r="E374" s="1"/>
  <c r="E375" s="1"/>
  <c r="E376" s="1"/>
  <c r="E377" s="1"/>
  <c r="E378" s="1"/>
  <c r="E379" s="1"/>
  <c r="E380" s="1"/>
  <c r="E381" s="1"/>
  <c r="E382" s="1"/>
  <c r="E383" s="1"/>
  <c r="E384" s="1"/>
  <c r="E385" s="1"/>
  <c r="E386" s="1"/>
  <c r="E387" s="1"/>
  <c r="E388" s="1"/>
  <c r="E389" s="1"/>
  <c r="E390" s="1"/>
  <c r="E391" s="1"/>
  <c r="E392" s="1"/>
  <c r="E393" s="1"/>
  <c r="E394" s="1"/>
  <c r="E395" s="1"/>
  <c r="E396" s="1"/>
  <c r="E397" s="1"/>
  <c r="E398" s="1"/>
  <c r="E399" s="1"/>
  <c r="E400" s="1"/>
  <c r="E401" s="1"/>
  <c r="E402" s="1"/>
  <c r="E403" s="1"/>
  <c r="E404" s="1"/>
  <c r="E405" s="1"/>
  <c r="E406" s="1"/>
  <c r="E407" s="1"/>
  <c r="E408" s="1"/>
  <c r="E409" s="1"/>
  <c r="E410" s="1"/>
  <c r="E411" s="1"/>
  <c r="E412" s="1"/>
  <c r="E413" s="1"/>
  <c r="E414" s="1"/>
  <c r="E415" s="1"/>
  <c r="E416" s="1"/>
  <c r="E417" s="1"/>
  <c r="E418" s="1"/>
  <c r="E419" s="1"/>
  <c r="E420" s="1"/>
  <c r="E421" s="1"/>
  <c r="E422" s="1"/>
  <c r="E423" s="1"/>
  <c r="E424" s="1"/>
  <c r="E425" s="1"/>
  <c r="E426" s="1"/>
  <c r="E427" s="1"/>
  <c r="E428" s="1"/>
  <c r="E429" s="1"/>
  <c r="E430" s="1"/>
  <c r="E431" s="1"/>
  <c r="E432" s="1"/>
  <c r="E433" s="1"/>
  <c r="E434" s="1"/>
  <c r="E435" s="1"/>
  <c r="E436" s="1"/>
  <c r="E437" s="1"/>
  <c r="E438" s="1"/>
  <c r="E439" s="1"/>
  <c r="E440" s="1"/>
  <c r="E441" s="1"/>
  <c r="E442" s="1"/>
  <c r="E443" s="1"/>
  <c r="E444" s="1"/>
  <c r="E445" s="1"/>
  <c r="E446" s="1"/>
  <c r="E447" s="1"/>
  <c r="E448" s="1"/>
  <c r="E449" s="1"/>
  <c r="E450" s="1"/>
  <c r="E451" s="1"/>
  <c r="E452" s="1"/>
  <c r="E453" s="1"/>
  <c r="E454" s="1"/>
  <c r="E455" s="1"/>
  <c r="E456" s="1"/>
  <c r="E457" s="1"/>
  <c r="E458" s="1"/>
  <c r="E459" s="1"/>
  <c r="E460" s="1"/>
  <c r="E461" s="1"/>
  <c r="E462" s="1"/>
  <c r="E463" s="1"/>
  <c r="E464" s="1"/>
  <c r="E465" s="1"/>
  <c r="E466" s="1"/>
  <c r="E467" s="1"/>
  <c r="E468" s="1"/>
  <c r="E469" s="1"/>
  <c r="E470" s="1"/>
  <c r="E471" s="1"/>
  <c r="E472" s="1"/>
  <c r="E473" s="1"/>
  <c r="E474" s="1"/>
  <c r="E475" s="1"/>
  <c r="E476" s="1"/>
  <c r="E477" s="1"/>
  <c r="E478" s="1"/>
  <c r="E479" s="1"/>
  <c r="E480" s="1"/>
  <c r="E481" s="1"/>
  <c r="E482" s="1"/>
  <c r="E483" s="1"/>
  <c r="E484" s="1"/>
  <c r="E485" s="1"/>
  <c r="E486" s="1"/>
  <c r="E487" s="1"/>
  <c r="E488" s="1"/>
  <c r="E489" s="1"/>
  <c r="E490" s="1"/>
  <c r="E491" s="1"/>
  <c r="E492" s="1"/>
  <c r="E493" s="1"/>
  <c r="E494" s="1"/>
  <c r="E495" s="1"/>
  <c r="E496" s="1"/>
  <c r="E497" s="1"/>
  <c r="E498" s="1"/>
  <c r="E499" s="1"/>
  <c r="E500" s="1"/>
  <c r="E501" s="1"/>
  <c r="E502" s="1"/>
  <c r="E503" s="1"/>
  <c r="E504" s="1"/>
  <c r="E505" s="1"/>
  <c r="E506" s="1"/>
  <c r="E507" s="1"/>
  <c r="E508" s="1"/>
  <c r="E509" s="1"/>
  <c r="E510" s="1"/>
  <c r="E511" s="1"/>
  <c r="E512" s="1"/>
  <c r="E513" s="1"/>
  <c r="E514" s="1"/>
  <c r="E515" s="1"/>
  <c r="E516" s="1"/>
  <c r="E517" s="1"/>
  <c r="E518" s="1"/>
  <c r="E519" s="1"/>
  <c r="E520" s="1"/>
  <c r="E521" s="1"/>
  <c r="E522" s="1"/>
  <c r="E523" s="1"/>
  <c r="E524" s="1"/>
  <c r="E525" s="1"/>
  <c r="E526" s="1"/>
  <c r="E527" s="1"/>
  <c r="E528" s="1"/>
  <c r="E529" s="1"/>
  <c r="E530" s="1"/>
  <c r="E531" s="1"/>
  <c r="E532" s="1"/>
  <c r="E533" s="1"/>
  <c r="E534" s="1"/>
  <c r="E535" s="1"/>
  <c r="E536" s="1"/>
  <c r="E537" s="1"/>
  <c r="E538" s="1"/>
  <c r="E539" s="1"/>
  <c r="E540" s="1"/>
  <c r="E541" s="1"/>
  <c r="E542" s="1"/>
  <c r="E543" s="1"/>
  <c r="E544" s="1"/>
  <c r="E545" s="1"/>
  <c r="E546" s="1"/>
  <c r="E547" s="1"/>
  <c r="E548" s="1"/>
  <c r="E549" s="1"/>
  <c r="E550" s="1"/>
  <c r="E551" s="1"/>
  <c r="E552" s="1"/>
  <c r="E553" s="1"/>
  <c r="E554" s="1"/>
  <c r="E555" s="1"/>
  <c r="E556" s="1"/>
  <c r="E557" s="1"/>
  <c r="E558" s="1"/>
  <c r="E559" s="1"/>
  <c r="E560" s="1"/>
  <c r="E561" s="1"/>
  <c r="E562" s="1"/>
  <c r="E563" s="1"/>
  <c r="E564" s="1"/>
  <c r="E565" s="1"/>
  <c r="E566" s="1"/>
  <c r="E567" s="1"/>
  <c r="E568" s="1"/>
  <c r="E569" s="1"/>
  <c r="E570" s="1"/>
  <c r="E571" s="1"/>
  <c r="E572" s="1"/>
  <c r="E573" s="1"/>
  <c r="E574" s="1"/>
  <c r="E575" s="1"/>
  <c r="E576" s="1"/>
  <c r="E577" s="1"/>
  <c r="E578" s="1"/>
  <c r="E579" s="1"/>
  <c r="E580" s="1"/>
  <c r="E581" s="1"/>
  <c r="E582" s="1"/>
  <c r="E583" s="1"/>
  <c r="E584" s="1"/>
  <c r="E585" s="1"/>
  <c r="E586" s="1"/>
  <c r="E587" s="1"/>
  <c r="E588" s="1"/>
  <c r="E589" s="1"/>
  <c r="E590" s="1"/>
  <c r="E591" s="1"/>
  <c r="E592" s="1"/>
  <c r="E593" s="1"/>
  <c r="E594" s="1"/>
  <c r="E595" s="1"/>
  <c r="E596" s="1"/>
  <c r="E597" s="1"/>
  <c r="E598" s="1"/>
  <c r="E599" s="1"/>
  <c r="E600" s="1"/>
  <c r="E601" s="1"/>
  <c r="E602" s="1"/>
  <c r="E603" s="1"/>
  <c r="E604" s="1"/>
  <c r="E605" s="1"/>
  <c r="E606" s="1"/>
  <c r="E607" s="1"/>
  <c r="E608" s="1"/>
  <c r="E609" s="1"/>
  <c r="E610" s="1"/>
  <c r="E611" s="1"/>
  <c r="E612" s="1"/>
  <c r="E613" s="1"/>
  <c r="E614" s="1"/>
  <c r="E615" s="1"/>
  <c r="E616" s="1"/>
  <c r="E617" s="1"/>
  <c r="E618" s="1"/>
  <c r="E619" s="1"/>
  <c r="E620" s="1"/>
  <c r="E621" s="1"/>
  <c r="E622" s="1"/>
  <c r="E623" s="1"/>
  <c r="E624" s="1"/>
  <c r="E625" s="1"/>
  <c r="E626" s="1"/>
  <c r="E627" s="1"/>
  <c r="E628" s="1"/>
  <c r="E629" s="1"/>
  <c r="E630" s="1"/>
  <c r="E631" s="1"/>
  <c r="E632" s="1"/>
  <c r="E633" s="1"/>
  <c r="E634" s="1"/>
  <c r="E635" s="1"/>
  <c r="E636" s="1"/>
  <c r="E637" s="1"/>
  <c r="E638" s="1"/>
  <c r="E639" s="1"/>
  <c r="E640" s="1"/>
  <c r="E641" s="1"/>
  <c r="E642" s="1"/>
  <c r="E643" s="1"/>
  <c r="E644" s="1"/>
  <c r="E645" s="1"/>
  <c r="E646" s="1"/>
  <c r="E647" s="1"/>
  <c r="E648" s="1"/>
  <c r="E649" s="1"/>
  <c r="E650" s="1"/>
  <c r="E651" s="1"/>
  <c r="E652" s="1"/>
  <c r="E653" s="1"/>
  <c r="E654" s="1"/>
  <c r="E655" s="1"/>
  <c r="E656" s="1"/>
  <c r="E657" s="1"/>
  <c r="E658" s="1"/>
  <c r="E659" s="1"/>
  <c r="E660" s="1"/>
  <c r="E661" s="1"/>
  <c r="E662" s="1"/>
  <c r="E663" s="1"/>
  <c r="E664" s="1"/>
  <c r="E665" s="1"/>
  <c r="E666" s="1"/>
  <c r="E667" s="1"/>
  <c r="E668" s="1"/>
  <c r="E669" s="1"/>
  <c r="E670" s="1"/>
  <c r="E671" s="1"/>
  <c r="E672" s="1"/>
  <c r="E673" s="1"/>
  <c r="E674" s="1"/>
  <c r="E675" s="1"/>
  <c r="E676" s="1"/>
  <c r="E677" s="1"/>
  <c r="E678" s="1"/>
  <c r="E679" s="1"/>
  <c r="E680" s="1"/>
  <c r="E681" s="1"/>
  <c r="E682" s="1"/>
  <c r="E683" s="1"/>
  <c r="E684" s="1"/>
  <c r="E685" s="1"/>
  <c r="E686" s="1"/>
  <c r="E687" s="1"/>
  <c r="E688" s="1"/>
  <c r="E689" s="1"/>
  <c r="E690" s="1"/>
  <c r="E691" s="1"/>
  <c r="E692" s="1"/>
  <c r="E693" s="1"/>
  <c r="E694" s="1"/>
  <c r="E695" s="1"/>
  <c r="E696" s="1"/>
  <c r="E697" s="1"/>
  <c r="E698" s="1"/>
  <c r="E699" s="1"/>
  <c r="E700" s="1"/>
  <c r="E701" s="1"/>
  <c r="E702" s="1"/>
  <c r="E703" s="1"/>
  <c r="E704" s="1"/>
  <c r="E705" s="1"/>
  <c r="E706" s="1"/>
  <c r="E707" s="1"/>
  <c r="E708" s="1"/>
  <c r="E709" s="1"/>
  <c r="E710" s="1"/>
  <c r="E711" s="1"/>
  <c r="E712" s="1"/>
  <c r="E713" s="1"/>
  <c r="E714" s="1"/>
  <c r="E715" s="1"/>
  <c r="E716" s="1"/>
  <c r="E717" s="1"/>
  <c r="E718" s="1"/>
  <c r="E719" s="1"/>
  <c r="E720" s="1"/>
  <c r="E721" s="1"/>
  <c r="E722" s="1"/>
  <c r="E723" s="1"/>
  <c r="E724" s="1"/>
  <c r="E725" s="1"/>
  <c r="E726" s="1"/>
  <c r="E727" s="1"/>
  <c r="E728" s="1"/>
  <c r="E729" s="1"/>
  <c r="E730" s="1"/>
  <c r="E731" s="1"/>
  <c r="E732" s="1"/>
  <c r="E733" s="1"/>
  <c r="E734" s="1"/>
  <c r="E735" s="1"/>
  <c r="E736" s="1"/>
  <c r="E737" s="1"/>
  <c r="E738" s="1"/>
  <c r="E9"/>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8"/>
  <c r="A36"/>
  <c r="A46" s="1"/>
  <c r="A56" s="1"/>
  <c r="A66" s="1"/>
  <c r="A76" s="1"/>
  <c r="A86" s="1"/>
  <c r="A96" s="1"/>
  <c r="A106" s="1"/>
  <c r="A116" s="1"/>
  <c r="A126" s="1"/>
  <c r="A136" s="1"/>
  <c r="A146" s="1"/>
  <c r="A156" s="1"/>
  <c r="A166" s="1"/>
  <c r="A176" s="1"/>
  <c r="A186" s="1"/>
  <c r="A196" s="1"/>
  <c r="A206" s="1"/>
  <c r="A216" s="1"/>
  <c r="A226" s="1"/>
  <c r="A236" s="1"/>
  <c r="A246" s="1"/>
  <c r="A256" s="1"/>
  <c r="A266" s="1"/>
  <c r="A276" s="1"/>
  <c r="A286" s="1"/>
  <c r="A32"/>
  <c r="A42" s="1"/>
  <c r="A52" s="1"/>
  <c r="A62" s="1"/>
  <c r="A72" s="1"/>
  <c r="A82" s="1"/>
  <c r="A92" s="1"/>
  <c r="A102" s="1"/>
  <c r="A112" s="1"/>
  <c r="A122" s="1"/>
  <c r="A132" s="1"/>
  <c r="A142" s="1"/>
  <c r="A152" s="1"/>
  <c r="A162" s="1"/>
  <c r="A172" s="1"/>
  <c r="A182" s="1"/>
  <c r="A192" s="1"/>
  <c r="A202" s="1"/>
  <c r="A212" s="1"/>
  <c r="A222" s="1"/>
  <c r="A232" s="1"/>
  <c r="A242" s="1"/>
  <c r="A252" s="1"/>
  <c r="A262" s="1"/>
  <c r="A272" s="1"/>
  <c r="A282" s="1"/>
  <c r="A28"/>
  <c r="A38" s="1"/>
  <c r="A48" s="1"/>
  <c r="A58" s="1"/>
  <c r="A68" s="1"/>
  <c r="A78" s="1"/>
  <c r="A88" s="1"/>
  <c r="A98" s="1"/>
  <c r="A108" s="1"/>
  <c r="A118" s="1"/>
  <c r="A128" s="1"/>
  <c r="A138" s="1"/>
  <c r="A148" s="1"/>
  <c r="A158" s="1"/>
  <c r="A168" s="1"/>
  <c r="A178" s="1"/>
  <c r="A188" s="1"/>
  <c r="A198" s="1"/>
  <c r="A208" s="1"/>
  <c r="A218" s="1"/>
  <c r="A228" s="1"/>
  <c r="A238" s="1"/>
  <c r="A248" s="1"/>
  <c r="A258" s="1"/>
  <c r="A268" s="1"/>
  <c r="A278" s="1"/>
  <c r="A26"/>
  <c r="A25"/>
  <c r="A35" s="1"/>
  <c r="A45" s="1"/>
  <c r="A55" s="1"/>
  <c r="A65" s="1"/>
  <c r="A75" s="1"/>
  <c r="A85" s="1"/>
  <c r="A95" s="1"/>
  <c r="A105" s="1"/>
  <c r="A115" s="1"/>
  <c r="A125" s="1"/>
  <c r="A135" s="1"/>
  <c r="A145" s="1"/>
  <c r="A155" s="1"/>
  <c r="A165" s="1"/>
  <c r="A175" s="1"/>
  <c r="A185" s="1"/>
  <c r="A195" s="1"/>
  <c r="A205" s="1"/>
  <c r="A215" s="1"/>
  <c r="A225" s="1"/>
  <c r="A235" s="1"/>
  <c r="A245" s="1"/>
  <c r="A255" s="1"/>
  <c r="A265" s="1"/>
  <c r="A275" s="1"/>
  <c r="A285" s="1"/>
  <c r="A24"/>
  <c r="A34" s="1"/>
  <c r="A44" s="1"/>
  <c r="A54" s="1"/>
  <c r="A64" s="1"/>
  <c r="A74" s="1"/>
  <c r="A84" s="1"/>
  <c r="A94" s="1"/>
  <c r="A104" s="1"/>
  <c r="A114" s="1"/>
  <c r="A124" s="1"/>
  <c r="A134" s="1"/>
  <c r="A144" s="1"/>
  <c r="A154" s="1"/>
  <c r="A164" s="1"/>
  <c r="A174" s="1"/>
  <c r="A184" s="1"/>
  <c r="A194" s="1"/>
  <c r="A204" s="1"/>
  <c r="A214" s="1"/>
  <c r="A224" s="1"/>
  <c r="A234" s="1"/>
  <c r="A244" s="1"/>
  <c r="A254" s="1"/>
  <c r="A264" s="1"/>
  <c r="A274" s="1"/>
  <c r="A284" s="1"/>
  <c r="A23"/>
  <c r="A33" s="1"/>
  <c r="A43" s="1"/>
  <c r="A53" s="1"/>
  <c r="A63" s="1"/>
  <c r="A73" s="1"/>
  <c r="A83" s="1"/>
  <c r="A93" s="1"/>
  <c r="A103" s="1"/>
  <c r="A113" s="1"/>
  <c r="A123" s="1"/>
  <c r="A133" s="1"/>
  <c r="A143" s="1"/>
  <c r="A153" s="1"/>
  <c r="A163" s="1"/>
  <c r="A173" s="1"/>
  <c r="A183" s="1"/>
  <c r="A193" s="1"/>
  <c r="A203" s="1"/>
  <c r="A213" s="1"/>
  <c r="A223" s="1"/>
  <c r="A233" s="1"/>
  <c r="A243" s="1"/>
  <c r="A253" s="1"/>
  <c r="A263" s="1"/>
  <c r="A273" s="1"/>
  <c r="A283" s="1"/>
  <c r="A22"/>
  <c r="A21"/>
  <c r="A31" s="1"/>
  <c r="A41" s="1"/>
  <c r="A51" s="1"/>
  <c r="A61" s="1"/>
  <c r="A71" s="1"/>
  <c r="A81" s="1"/>
  <c r="A91" s="1"/>
  <c r="A101" s="1"/>
  <c r="A111" s="1"/>
  <c r="A121" s="1"/>
  <c r="A131" s="1"/>
  <c r="A141" s="1"/>
  <c r="A151" s="1"/>
  <c r="A161" s="1"/>
  <c r="A171" s="1"/>
  <c r="A181" s="1"/>
  <c r="A191" s="1"/>
  <c r="A201" s="1"/>
  <c r="A211" s="1"/>
  <c r="A221" s="1"/>
  <c r="A231" s="1"/>
  <c r="A241" s="1"/>
  <c r="A251" s="1"/>
  <c r="A261" s="1"/>
  <c r="A271" s="1"/>
  <c r="A281" s="1"/>
  <c r="A20"/>
  <c r="A30" s="1"/>
  <c r="A40" s="1"/>
  <c r="A50" s="1"/>
  <c r="A60" s="1"/>
  <c r="A70" s="1"/>
  <c r="A80" s="1"/>
  <c r="A90" s="1"/>
  <c r="A100" s="1"/>
  <c r="A110" s="1"/>
  <c r="A120" s="1"/>
  <c r="A130" s="1"/>
  <c r="A140" s="1"/>
  <c r="A150" s="1"/>
  <c r="A160" s="1"/>
  <c r="A170" s="1"/>
  <c r="A180" s="1"/>
  <c r="A190" s="1"/>
  <c r="A200" s="1"/>
  <c r="A210" s="1"/>
  <c r="A220" s="1"/>
  <c r="A230" s="1"/>
  <c r="A240" s="1"/>
  <c r="A250" s="1"/>
  <c r="A260" s="1"/>
  <c r="A270" s="1"/>
  <c r="A280" s="1"/>
  <c r="A19"/>
  <c r="A29" s="1"/>
  <c r="A39" s="1"/>
  <c r="A49" s="1"/>
  <c r="A59" s="1"/>
  <c r="A69" s="1"/>
  <c r="A79" s="1"/>
  <c r="A89" s="1"/>
  <c r="A99" s="1"/>
  <c r="A109" s="1"/>
  <c r="A119" s="1"/>
  <c r="A129" s="1"/>
  <c r="A139" s="1"/>
  <c r="A149" s="1"/>
  <c r="A159" s="1"/>
  <c r="A169" s="1"/>
  <c r="A179" s="1"/>
  <c r="A189" s="1"/>
  <c r="A199" s="1"/>
  <c r="A209" s="1"/>
  <c r="A219" s="1"/>
  <c r="A229" s="1"/>
  <c r="A239" s="1"/>
  <c r="A249" s="1"/>
  <c r="A259" s="1"/>
  <c r="A269" s="1"/>
  <c r="A279" s="1"/>
  <c r="A18"/>
  <c r="B17"/>
  <c r="B27" s="1"/>
  <c r="B37" s="1"/>
  <c r="B47" s="1"/>
  <c r="B57" s="1"/>
  <c r="B67" s="1"/>
  <c r="B77" s="1"/>
  <c r="B87" s="1"/>
  <c r="B97" s="1"/>
  <c r="B107" s="1"/>
  <c r="B117" s="1"/>
  <c r="B127" s="1"/>
  <c r="B137" s="1"/>
  <c r="B147" s="1"/>
  <c r="B157" s="1"/>
  <c r="B167" s="1"/>
  <c r="B177" s="1"/>
  <c r="B187" s="1"/>
  <c r="B197" s="1"/>
  <c r="B207" s="1"/>
  <c r="B217" s="1"/>
  <c r="B227" s="1"/>
  <c r="B237" s="1"/>
  <c r="B247" s="1"/>
  <c r="B257" s="1"/>
  <c r="B267" s="1"/>
  <c r="B277" s="1"/>
  <c r="A17"/>
  <c r="A27" s="1"/>
  <c r="A37" s="1"/>
  <c r="A47" s="1"/>
  <c r="A57" s="1"/>
  <c r="A67" s="1"/>
  <c r="A77" s="1"/>
  <c r="A87" s="1"/>
  <c r="A97" s="1"/>
  <c r="A107" s="1"/>
  <c r="A117" s="1"/>
  <c r="A127" s="1"/>
  <c r="A137" s="1"/>
  <c r="A147" s="1"/>
  <c r="A157" s="1"/>
  <c r="A167" s="1"/>
  <c r="A177" s="1"/>
  <c r="A187" s="1"/>
  <c r="A197" s="1"/>
  <c r="A207" s="1"/>
  <c r="A217" s="1"/>
  <c r="A227" s="1"/>
  <c r="A237" s="1"/>
  <c r="A247" s="1"/>
  <c r="A257" s="1"/>
  <c r="A267" s="1"/>
  <c r="A277" s="1"/>
  <c r="C8"/>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137" s="1"/>
  <c r="C138" s="1"/>
  <c r="C139" s="1"/>
  <c r="C140" s="1"/>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C170" s="1"/>
  <c r="C171" s="1"/>
  <c r="C172" s="1"/>
  <c r="C173" s="1"/>
  <c r="C174" s="1"/>
  <c r="C175" s="1"/>
  <c r="C176" s="1"/>
  <c r="C177" s="1"/>
  <c r="C178" s="1"/>
  <c r="C179" s="1"/>
  <c r="C180" s="1"/>
  <c r="C181" s="1"/>
  <c r="C182" s="1"/>
  <c r="C183" s="1"/>
  <c r="C184" s="1"/>
  <c r="C185" s="1"/>
  <c r="C186" s="1"/>
  <c r="C187" s="1"/>
  <c r="C188" s="1"/>
  <c r="C189" s="1"/>
  <c r="C190" s="1"/>
  <c r="C191" s="1"/>
  <c r="C192" s="1"/>
  <c r="C193" s="1"/>
  <c r="C194" s="1"/>
  <c r="C195" s="1"/>
  <c r="C196" s="1"/>
  <c r="C197" s="1"/>
  <c r="C198" s="1"/>
  <c r="C199" s="1"/>
  <c r="C200" s="1"/>
  <c r="C201" s="1"/>
  <c r="C202" s="1"/>
  <c r="C203" s="1"/>
  <c r="C204" s="1"/>
  <c r="C205" s="1"/>
  <c r="C206" s="1"/>
  <c r="C207" s="1"/>
  <c r="C208" s="1"/>
  <c r="C209" s="1"/>
  <c r="C210" s="1"/>
  <c r="C211" s="1"/>
  <c r="C212" s="1"/>
  <c r="C213" s="1"/>
  <c r="C214" s="1"/>
  <c r="C215" s="1"/>
  <c r="C216" s="1"/>
  <c r="C217" s="1"/>
  <c r="C218" s="1"/>
  <c r="C219" s="1"/>
  <c r="C220" s="1"/>
  <c r="C221" s="1"/>
  <c r="C222" s="1"/>
  <c r="C223" s="1"/>
  <c r="C224" s="1"/>
  <c r="C225" s="1"/>
  <c r="C226" s="1"/>
  <c r="C227" s="1"/>
  <c r="C228" s="1"/>
  <c r="C229" s="1"/>
  <c r="C230" s="1"/>
  <c r="C231" s="1"/>
  <c r="C232" s="1"/>
  <c r="C233" s="1"/>
  <c r="C234" s="1"/>
  <c r="C235" s="1"/>
  <c r="C236" s="1"/>
  <c r="C237" s="1"/>
  <c r="C238" s="1"/>
  <c r="C239" s="1"/>
  <c r="C240" s="1"/>
  <c r="C241" s="1"/>
  <c r="C242" s="1"/>
  <c r="C243" s="1"/>
  <c r="C244" s="1"/>
  <c r="C245" s="1"/>
  <c r="C246" s="1"/>
  <c r="C247" s="1"/>
  <c r="C248" s="1"/>
  <c r="C249" s="1"/>
  <c r="C250" s="1"/>
  <c r="C251" s="1"/>
  <c r="C252" s="1"/>
  <c r="C253" s="1"/>
  <c r="C254" s="1"/>
  <c r="C255" s="1"/>
  <c r="C256" s="1"/>
  <c r="C257" s="1"/>
  <c r="C258" s="1"/>
  <c r="C259" s="1"/>
  <c r="C260" s="1"/>
  <c r="C261" s="1"/>
  <c r="C262" s="1"/>
  <c r="C263" s="1"/>
  <c r="C264" s="1"/>
  <c r="C265" s="1"/>
  <c r="C266" s="1"/>
  <c r="C267" s="1"/>
  <c r="C268" s="1"/>
  <c r="C269" s="1"/>
  <c r="C270" s="1"/>
  <c r="C271" s="1"/>
  <c r="C272" s="1"/>
  <c r="C273" s="1"/>
  <c r="C274" s="1"/>
  <c r="C275" s="1"/>
  <c r="C276" s="1"/>
  <c r="C277" s="1"/>
  <c r="C278" s="1"/>
  <c r="C279" s="1"/>
  <c r="C280" s="1"/>
  <c r="C281" s="1"/>
  <c r="C282" s="1"/>
  <c r="C283" s="1"/>
  <c r="C284" s="1"/>
  <c r="C285" s="1"/>
  <c r="C286" s="1"/>
  <c r="C287" s="1"/>
  <c r="C288" s="1"/>
  <c r="C289" s="1"/>
  <c r="C290" s="1"/>
  <c r="C291" s="1"/>
  <c r="C292" s="1"/>
  <c r="C293" s="1"/>
  <c r="C294" s="1"/>
  <c r="C295" s="1"/>
  <c r="C296" s="1"/>
  <c r="C297" s="1"/>
  <c r="C298" s="1"/>
  <c r="C299" s="1"/>
  <c r="C300" s="1"/>
  <c r="C301" s="1"/>
  <c r="C302" s="1"/>
  <c r="C303" s="1"/>
  <c r="C304" s="1"/>
  <c r="C305" s="1"/>
  <c r="C306" s="1"/>
  <c r="C307" s="1"/>
  <c r="C308" s="1"/>
  <c r="C309" s="1"/>
  <c r="C310" s="1"/>
  <c r="C311" s="1"/>
  <c r="C312" s="1"/>
  <c r="C313" s="1"/>
  <c r="C314" s="1"/>
  <c r="C315" s="1"/>
  <c r="C316" s="1"/>
  <c r="C317" s="1"/>
  <c r="C318" s="1"/>
  <c r="C319" s="1"/>
  <c r="C320" s="1"/>
  <c r="C321" s="1"/>
  <c r="C322" s="1"/>
  <c r="C323" s="1"/>
  <c r="C324" s="1"/>
  <c r="C325" s="1"/>
  <c r="C326" s="1"/>
  <c r="C327" s="1"/>
  <c r="C328" s="1"/>
  <c r="C329" s="1"/>
  <c r="C330" s="1"/>
  <c r="C331" s="1"/>
  <c r="C332" s="1"/>
  <c r="C333" s="1"/>
  <c r="C334" s="1"/>
  <c r="C335" s="1"/>
  <c r="C336" s="1"/>
  <c r="C337" s="1"/>
  <c r="C338" s="1"/>
  <c r="C339" s="1"/>
  <c r="C340" s="1"/>
  <c r="C341" s="1"/>
  <c r="C342" s="1"/>
  <c r="C343" s="1"/>
  <c r="C344" s="1"/>
  <c r="C345" s="1"/>
  <c r="C346" s="1"/>
  <c r="C347" s="1"/>
  <c r="C348" s="1"/>
  <c r="C349" s="1"/>
  <c r="C350" s="1"/>
  <c r="C351" s="1"/>
  <c r="C352" s="1"/>
  <c r="C353" s="1"/>
  <c r="C354" s="1"/>
  <c r="C355" s="1"/>
  <c r="C356" s="1"/>
  <c r="C357" s="1"/>
  <c r="C358" s="1"/>
  <c r="C359" s="1"/>
  <c r="C360" s="1"/>
  <c r="C361" s="1"/>
  <c r="C362" s="1"/>
  <c r="C363" s="1"/>
  <c r="C364" s="1"/>
  <c r="C365" s="1"/>
  <c r="C366" s="1"/>
  <c r="C367" s="1"/>
  <c r="C368" s="1"/>
  <c r="C369" s="1"/>
  <c r="C370" s="1"/>
  <c r="C371" s="1"/>
  <c r="C372" s="1"/>
  <c r="C373" s="1"/>
  <c r="C374" s="1"/>
  <c r="C375" s="1"/>
  <c r="C376" s="1"/>
  <c r="C377" s="1"/>
  <c r="C378" s="1"/>
  <c r="C379" s="1"/>
  <c r="C380" s="1"/>
  <c r="C381" s="1"/>
  <c r="C382" s="1"/>
  <c r="C383" s="1"/>
  <c r="C384" s="1"/>
  <c r="C385" s="1"/>
  <c r="C386" s="1"/>
  <c r="C387" s="1"/>
  <c r="C388" s="1"/>
  <c r="C389" s="1"/>
  <c r="C390" s="1"/>
  <c r="C391" s="1"/>
  <c r="C392" s="1"/>
  <c r="C393" s="1"/>
  <c r="C394" s="1"/>
  <c r="C395" s="1"/>
  <c r="C396" s="1"/>
  <c r="C397" s="1"/>
  <c r="C398" s="1"/>
  <c r="C399" s="1"/>
  <c r="C400" s="1"/>
  <c r="C401" s="1"/>
  <c r="C402" s="1"/>
  <c r="C403" s="1"/>
  <c r="C404" s="1"/>
  <c r="C405" s="1"/>
  <c r="C406" s="1"/>
  <c r="C407" s="1"/>
  <c r="C408" s="1"/>
  <c r="C409" s="1"/>
  <c r="C410" s="1"/>
  <c r="C411" s="1"/>
  <c r="C412" s="1"/>
  <c r="C413" s="1"/>
  <c r="C414" s="1"/>
  <c r="C415" s="1"/>
  <c r="C416" s="1"/>
  <c r="C417" s="1"/>
  <c r="C418" s="1"/>
  <c r="C419" s="1"/>
  <c r="C420" s="1"/>
  <c r="C421" s="1"/>
  <c r="C422" s="1"/>
  <c r="C423" s="1"/>
  <c r="C424" s="1"/>
  <c r="C425" s="1"/>
  <c r="C426" s="1"/>
  <c r="C427" s="1"/>
  <c r="C428" s="1"/>
  <c r="C429" s="1"/>
  <c r="C430" s="1"/>
  <c r="C431" s="1"/>
  <c r="C432" s="1"/>
  <c r="C433" s="1"/>
  <c r="C434" s="1"/>
  <c r="C435" s="1"/>
  <c r="C436" s="1"/>
  <c r="C437" s="1"/>
  <c r="C438" s="1"/>
  <c r="C439" s="1"/>
  <c r="C440" s="1"/>
  <c r="C441" s="1"/>
  <c r="C442" s="1"/>
  <c r="C443" s="1"/>
  <c r="C444" s="1"/>
  <c r="C445" s="1"/>
  <c r="C446" s="1"/>
  <c r="C447" s="1"/>
  <c r="C448" s="1"/>
  <c r="C449" s="1"/>
  <c r="C450" s="1"/>
  <c r="C451" s="1"/>
  <c r="C452" s="1"/>
  <c r="C453" s="1"/>
  <c r="C454" s="1"/>
  <c r="C455" s="1"/>
  <c r="C456" s="1"/>
  <c r="C457" s="1"/>
  <c r="C458" s="1"/>
  <c r="C459" s="1"/>
  <c r="C460" s="1"/>
  <c r="C461" s="1"/>
  <c r="C462" s="1"/>
  <c r="C463" s="1"/>
  <c r="C464" s="1"/>
  <c r="C465" s="1"/>
  <c r="C466" s="1"/>
  <c r="C467" s="1"/>
  <c r="C468" s="1"/>
  <c r="C469" s="1"/>
  <c r="C470" s="1"/>
  <c r="C471" s="1"/>
  <c r="C472" s="1"/>
  <c r="C473" s="1"/>
  <c r="C474" s="1"/>
  <c r="C475" s="1"/>
  <c r="C476" s="1"/>
  <c r="C477" s="1"/>
  <c r="C478" s="1"/>
  <c r="C479" s="1"/>
  <c r="C480" s="1"/>
  <c r="C481" s="1"/>
  <c r="C482" s="1"/>
  <c r="C483" s="1"/>
  <c r="C484" s="1"/>
  <c r="C485" s="1"/>
  <c r="C486" s="1"/>
  <c r="C487" s="1"/>
  <c r="C488" s="1"/>
  <c r="C489" s="1"/>
  <c r="C490" s="1"/>
  <c r="C491" s="1"/>
  <c r="C492" s="1"/>
  <c r="C493" s="1"/>
  <c r="C494" s="1"/>
  <c r="C495" s="1"/>
  <c r="C496" s="1"/>
  <c r="C497" s="1"/>
  <c r="C498" s="1"/>
  <c r="C499" s="1"/>
  <c r="C500" s="1"/>
  <c r="C501" s="1"/>
  <c r="C502" s="1"/>
  <c r="C503" s="1"/>
  <c r="C504" s="1"/>
  <c r="C505" s="1"/>
  <c r="C506" s="1"/>
  <c r="C507" s="1"/>
  <c r="C508" s="1"/>
  <c r="C509" s="1"/>
  <c r="C510" s="1"/>
  <c r="C511" s="1"/>
  <c r="C512" s="1"/>
  <c r="C513" s="1"/>
  <c r="C514" s="1"/>
  <c r="C515" s="1"/>
  <c r="C516" s="1"/>
  <c r="C517" s="1"/>
  <c r="C518" s="1"/>
  <c r="C519" s="1"/>
  <c r="C520" s="1"/>
  <c r="C521" s="1"/>
  <c r="C522" s="1"/>
  <c r="C523" s="1"/>
  <c r="C524" s="1"/>
  <c r="C525" s="1"/>
  <c r="C526" s="1"/>
  <c r="C527" s="1"/>
  <c r="C528" s="1"/>
  <c r="C529" s="1"/>
  <c r="C530" s="1"/>
  <c r="C531" s="1"/>
  <c r="C532" s="1"/>
  <c r="C533" s="1"/>
  <c r="C534" s="1"/>
  <c r="C535" s="1"/>
  <c r="C536" s="1"/>
  <c r="C537" s="1"/>
  <c r="C538" s="1"/>
  <c r="C539" s="1"/>
  <c r="C540" s="1"/>
  <c r="C541" s="1"/>
  <c r="C542" s="1"/>
  <c r="C543" s="1"/>
  <c r="C544" s="1"/>
  <c r="C545" s="1"/>
  <c r="C546" s="1"/>
  <c r="C547" s="1"/>
  <c r="C548" s="1"/>
  <c r="C549" s="1"/>
  <c r="C550" s="1"/>
  <c r="C551" s="1"/>
  <c r="C552" s="1"/>
  <c r="C553" s="1"/>
  <c r="C554" s="1"/>
  <c r="C555" s="1"/>
  <c r="C556" s="1"/>
  <c r="C557" s="1"/>
  <c r="C558" s="1"/>
  <c r="C559" s="1"/>
  <c r="C560" s="1"/>
  <c r="C561" s="1"/>
  <c r="C562" s="1"/>
  <c r="C563" s="1"/>
  <c r="C564" s="1"/>
  <c r="C565" s="1"/>
  <c r="C566" s="1"/>
  <c r="C567" s="1"/>
  <c r="C568" s="1"/>
  <c r="C569" s="1"/>
  <c r="C570" s="1"/>
  <c r="C571" s="1"/>
  <c r="C572" s="1"/>
  <c r="C573" s="1"/>
  <c r="C574" s="1"/>
  <c r="C575" s="1"/>
  <c r="C576" s="1"/>
  <c r="C577" s="1"/>
  <c r="C578" s="1"/>
  <c r="C579" s="1"/>
  <c r="C580" s="1"/>
  <c r="C581" s="1"/>
  <c r="C582" s="1"/>
  <c r="C583" s="1"/>
  <c r="C584" s="1"/>
  <c r="C585" s="1"/>
  <c r="C586" s="1"/>
  <c r="C587" s="1"/>
  <c r="C588" s="1"/>
  <c r="C589" s="1"/>
  <c r="C590" s="1"/>
  <c r="C591" s="1"/>
  <c r="C592" s="1"/>
  <c r="C593" s="1"/>
  <c r="C594" s="1"/>
  <c r="C595" s="1"/>
  <c r="C596" s="1"/>
  <c r="C597" s="1"/>
  <c r="C598" s="1"/>
  <c r="C599" s="1"/>
  <c r="C600" s="1"/>
  <c r="C601" s="1"/>
  <c r="C602" s="1"/>
  <c r="C603" s="1"/>
  <c r="C604" s="1"/>
  <c r="C605" s="1"/>
  <c r="C606" s="1"/>
  <c r="C607" s="1"/>
  <c r="C608" s="1"/>
  <c r="C609" s="1"/>
  <c r="C610" s="1"/>
  <c r="C611" s="1"/>
  <c r="C612" s="1"/>
  <c r="C613" s="1"/>
  <c r="C614" s="1"/>
  <c r="C615" s="1"/>
  <c r="C616" s="1"/>
  <c r="C617" s="1"/>
  <c r="C618" s="1"/>
  <c r="B8"/>
  <c r="B18" s="1"/>
  <c r="B28" s="1"/>
  <c r="B38" s="1"/>
  <c r="B48" s="1"/>
  <c r="B58" s="1"/>
  <c r="B68" s="1"/>
  <c r="B78" s="1"/>
  <c r="B88" s="1"/>
  <c r="B98" s="1"/>
  <c r="B108" s="1"/>
  <c r="B118" s="1"/>
  <c r="B128" s="1"/>
  <c r="B138" s="1"/>
  <c r="B148" s="1"/>
  <c r="B158" s="1"/>
  <c r="B168" s="1"/>
  <c r="B178" s="1"/>
  <c r="B188" s="1"/>
  <c r="B198" s="1"/>
  <c r="B208" s="1"/>
  <c r="B218" s="1"/>
  <c r="B228" s="1"/>
  <c r="B238" s="1"/>
  <c r="B248" s="1"/>
  <c r="B258" s="1"/>
  <c r="B268" s="1"/>
  <c r="B278" s="1"/>
  <c r="F7"/>
  <c r="G6"/>
  <c r="G7" s="1"/>
  <c r="F6" i="3"/>
  <c r="F7"/>
  <c r="F8"/>
  <c r="F10"/>
  <c r="F11"/>
  <c r="E4"/>
  <c r="E6"/>
  <c r="E7"/>
  <c r="E8"/>
  <c r="E10"/>
  <c r="E11"/>
  <c r="D6"/>
  <c r="H6" s="1"/>
  <c r="D7"/>
  <c r="H7" s="1"/>
  <c r="D8"/>
  <c r="D10"/>
  <c r="H10" s="1"/>
  <c r="D11"/>
  <c r="H11" s="1"/>
  <c r="C6"/>
  <c r="C7"/>
  <c r="C8"/>
  <c r="C10"/>
  <c r="C11"/>
  <c r="C4"/>
  <c r="E119" i="5"/>
  <c r="F119"/>
  <c r="G119"/>
  <c r="H119"/>
  <c r="I119"/>
  <c r="J119"/>
  <c r="K119"/>
  <c r="L119"/>
  <c r="M119"/>
  <c r="N119"/>
  <c r="D119"/>
  <c r="V14" i="1"/>
  <c r="V20" s="1"/>
  <c r="V9"/>
  <c r="V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7"/>
  <c r="C38" i="3"/>
  <c r="C39"/>
  <c r="C40"/>
  <c r="C41"/>
  <c r="B39"/>
  <c r="B40"/>
  <c r="B41"/>
  <c r="B38"/>
  <c r="H70" i="1"/>
  <c r="H71"/>
  <c r="H72"/>
  <c r="H69"/>
  <c r="Q38"/>
  <c r="R38" s="1"/>
  <c r="Q39"/>
  <c r="R39" s="1"/>
  <c r="Q40"/>
  <c r="R40" s="1"/>
  <c r="Q41"/>
  <c r="R41" s="1"/>
  <c r="Q42"/>
  <c r="R42" s="1"/>
  <c r="Q43"/>
  <c r="R43" s="1"/>
  <c r="Q44"/>
  <c r="R44" s="1"/>
  <c r="Q45"/>
  <c r="R45" s="1"/>
  <c r="Q46"/>
  <c r="R46" s="1"/>
  <c r="Q47"/>
  <c r="R47" s="1"/>
  <c r="Q48"/>
  <c r="R48" s="1"/>
  <c r="Q49"/>
  <c r="R49" s="1"/>
  <c r="Q50"/>
  <c r="R50" s="1"/>
  <c r="Q51"/>
  <c r="R51" s="1"/>
  <c r="Q53"/>
  <c r="R53" s="1"/>
  <c r="Q54"/>
  <c r="R54" s="1"/>
  <c r="Q55"/>
  <c r="R55" s="1"/>
  <c r="Q56"/>
  <c r="R56" s="1"/>
  <c r="Q57"/>
  <c r="R57" s="1"/>
  <c r="Q58"/>
  <c r="R58" s="1"/>
  <c r="Q59"/>
  <c r="R59" s="1"/>
  <c r="Q60"/>
  <c r="R60" s="1"/>
  <c r="Q61"/>
  <c r="R61" s="1"/>
  <c r="Q62"/>
  <c r="R62" s="1"/>
  <c r="Q63"/>
  <c r="R63" s="1"/>
  <c r="Q64"/>
  <c r="R64" s="1"/>
  <c r="Q65"/>
  <c r="R65" s="1"/>
  <c r="Q66"/>
  <c r="R66" s="1"/>
  <c r="Q67"/>
  <c r="R67" s="1"/>
  <c r="Q7"/>
  <c r="R7" s="1"/>
  <c r="Q8"/>
  <c r="R8" s="1"/>
  <c r="Q9"/>
  <c r="R9" s="1"/>
  <c r="Q10"/>
  <c r="R10" s="1"/>
  <c r="Q11"/>
  <c r="R11" s="1"/>
  <c r="Q12"/>
  <c r="R12" s="1"/>
  <c r="Q13"/>
  <c r="R13" s="1"/>
  <c r="Q14"/>
  <c r="R14" s="1"/>
  <c r="Q15"/>
  <c r="R15" s="1"/>
  <c r="Q16"/>
  <c r="R16" s="1"/>
  <c r="Q17"/>
  <c r="R17" s="1"/>
  <c r="Q18"/>
  <c r="R18" s="1"/>
  <c r="Q19"/>
  <c r="R19" s="1"/>
  <c r="Q20"/>
  <c r="R20" s="1"/>
  <c r="Q21"/>
  <c r="R21" s="1"/>
  <c r="Q22"/>
  <c r="R22" s="1"/>
  <c r="Q23"/>
  <c r="R23" s="1"/>
  <c r="Q24"/>
  <c r="R24" s="1"/>
  <c r="Q25"/>
  <c r="R25" s="1"/>
  <c r="Q26"/>
  <c r="R26" s="1"/>
  <c r="Q27"/>
  <c r="R27" s="1"/>
  <c r="Q28"/>
  <c r="R28" s="1"/>
  <c r="Q29"/>
  <c r="R29" s="1"/>
  <c r="Q30"/>
  <c r="R30" s="1"/>
  <c r="Q31"/>
  <c r="R31" s="1"/>
  <c r="Q34"/>
  <c r="R34" s="1"/>
  <c r="Q35"/>
  <c r="R35" s="1"/>
  <c r="Q36"/>
  <c r="R36" s="1"/>
  <c r="Q37"/>
  <c r="R37" s="1"/>
  <c r="C33" i="2"/>
  <c r="C34"/>
  <c r="C35"/>
  <c r="C36"/>
  <c r="C32"/>
  <c r="C28"/>
  <c r="C29"/>
  <c r="Q32" i="1" s="1"/>
  <c r="R32" s="1"/>
  <c r="C30" i="2"/>
  <c r="C31"/>
  <c r="Q52" i="1" s="1"/>
  <c r="R52" s="1"/>
  <c r="C27" i="2"/>
  <c r="C23"/>
  <c r="C24"/>
  <c r="C25"/>
  <c r="C26"/>
  <c r="C22"/>
  <c r="C18"/>
  <c r="C19"/>
  <c r="C20"/>
  <c r="C21"/>
  <c r="C17"/>
  <c r="C13"/>
  <c r="C14"/>
  <c r="C15"/>
  <c r="C16"/>
  <c r="C12"/>
  <c r="B35"/>
  <c r="B36" s="1"/>
  <c r="B38" s="1"/>
  <c r="B31"/>
  <c r="B32" s="1"/>
  <c r="B33" s="1"/>
  <c r="B34" s="1"/>
  <c r="B14"/>
  <c r="B15"/>
  <c r="B16" s="1"/>
  <c r="B17" s="1"/>
  <c r="B18" s="1"/>
  <c r="B19" s="1"/>
  <c r="B20" s="1"/>
  <c r="B21" s="1"/>
  <c r="B22" s="1"/>
  <c r="B23" s="1"/>
  <c r="B24" s="1"/>
  <c r="B25" s="1"/>
  <c r="B26" s="1"/>
  <c r="B27" s="1"/>
  <c r="B28" s="1"/>
  <c r="B29" s="1"/>
  <c r="B30" s="1"/>
  <c r="B13"/>
  <c r="I5"/>
  <c r="I6"/>
  <c r="I7"/>
  <c r="I8"/>
  <c r="I4"/>
  <c r="H5"/>
  <c r="H6"/>
  <c r="H7"/>
  <c r="H8"/>
  <c r="H4"/>
  <c r="G5"/>
  <c r="G6"/>
  <c r="G8"/>
  <c r="G4"/>
  <c r="F12" i="1"/>
  <c r="G12"/>
  <c r="H12"/>
  <c r="I12"/>
  <c r="J12"/>
  <c r="K12"/>
  <c r="L12"/>
  <c r="M12"/>
  <c r="N12"/>
  <c r="O12"/>
  <c r="F13"/>
  <c r="G13"/>
  <c r="H13"/>
  <c r="I13"/>
  <c r="J13"/>
  <c r="K13"/>
  <c r="L13"/>
  <c r="M13"/>
  <c r="N13"/>
  <c r="O13"/>
  <c r="F14"/>
  <c r="G14"/>
  <c r="H14"/>
  <c r="I14"/>
  <c r="J14"/>
  <c r="K14"/>
  <c r="L14"/>
  <c r="M14"/>
  <c r="N14"/>
  <c r="O14"/>
  <c r="F15"/>
  <c r="G15"/>
  <c r="H15"/>
  <c r="I15"/>
  <c r="J15"/>
  <c r="K15"/>
  <c r="L15"/>
  <c r="M15"/>
  <c r="N15"/>
  <c r="O15"/>
  <c r="F16"/>
  <c r="G16"/>
  <c r="H16"/>
  <c r="I16"/>
  <c r="J16"/>
  <c r="K16"/>
  <c r="L16"/>
  <c r="M16"/>
  <c r="N16"/>
  <c r="O16"/>
  <c r="F17"/>
  <c r="G17"/>
  <c r="H17"/>
  <c r="I17"/>
  <c r="J17"/>
  <c r="K17"/>
  <c r="L17"/>
  <c r="M17"/>
  <c r="N17"/>
  <c r="O17"/>
  <c r="F18"/>
  <c r="G18"/>
  <c r="H18"/>
  <c r="I18"/>
  <c r="J18"/>
  <c r="K18"/>
  <c r="L18"/>
  <c r="M18"/>
  <c r="N18"/>
  <c r="O18"/>
  <c r="F19"/>
  <c r="G19"/>
  <c r="H19"/>
  <c r="I19"/>
  <c r="J19"/>
  <c r="K19"/>
  <c r="L19"/>
  <c r="M19"/>
  <c r="N19"/>
  <c r="O19"/>
  <c r="F20"/>
  <c r="G20"/>
  <c r="H20"/>
  <c r="I20"/>
  <c r="J20"/>
  <c r="K20"/>
  <c r="L20"/>
  <c r="M20"/>
  <c r="N20"/>
  <c r="O20"/>
  <c r="F21"/>
  <c r="G21"/>
  <c r="H21"/>
  <c r="I21"/>
  <c r="J21"/>
  <c r="K21"/>
  <c r="L21"/>
  <c r="M21"/>
  <c r="N21"/>
  <c r="O21"/>
  <c r="F22"/>
  <c r="G22"/>
  <c r="H22"/>
  <c r="I22"/>
  <c r="J22"/>
  <c r="K22"/>
  <c r="L22"/>
  <c r="M22"/>
  <c r="N22"/>
  <c r="O22"/>
  <c r="F23"/>
  <c r="G23"/>
  <c r="H23"/>
  <c r="I23"/>
  <c r="J23"/>
  <c r="K23"/>
  <c r="L23"/>
  <c r="M23"/>
  <c r="N23"/>
  <c r="O23"/>
  <c r="F24"/>
  <c r="G24"/>
  <c r="H24"/>
  <c r="I24"/>
  <c r="J24"/>
  <c r="K24"/>
  <c r="L24"/>
  <c r="M24"/>
  <c r="N24"/>
  <c r="O24"/>
  <c r="F25"/>
  <c r="G25"/>
  <c r="H25"/>
  <c r="I25"/>
  <c r="J25"/>
  <c r="K25"/>
  <c r="L25"/>
  <c r="M25"/>
  <c r="N25"/>
  <c r="O25"/>
  <c r="F26"/>
  <c r="G26"/>
  <c r="H26"/>
  <c r="I26"/>
  <c r="J26"/>
  <c r="K26"/>
  <c r="L26"/>
  <c r="M26"/>
  <c r="N26"/>
  <c r="O26"/>
  <c r="F27"/>
  <c r="G27"/>
  <c r="H27"/>
  <c r="I27"/>
  <c r="J27"/>
  <c r="K27"/>
  <c r="L27"/>
  <c r="M27"/>
  <c r="N27"/>
  <c r="O27"/>
  <c r="F28"/>
  <c r="G28"/>
  <c r="H28"/>
  <c r="I28"/>
  <c r="J28"/>
  <c r="K28"/>
  <c r="L28"/>
  <c r="M28"/>
  <c r="N28"/>
  <c r="O28"/>
  <c r="F29"/>
  <c r="G29"/>
  <c r="H29"/>
  <c r="I29"/>
  <c r="J29"/>
  <c r="K29"/>
  <c r="L29"/>
  <c r="M29"/>
  <c r="N29"/>
  <c r="O29"/>
  <c r="F30"/>
  <c r="G30"/>
  <c r="H30"/>
  <c r="I30"/>
  <c r="J30"/>
  <c r="K30"/>
  <c r="L30"/>
  <c r="M30"/>
  <c r="N30"/>
  <c r="O30"/>
  <c r="F31"/>
  <c r="G31"/>
  <c r="H31"/>
  <c r="I31"/>
  <c r="J31"/>
  <c r="K31"/>
  <c r="L31"/>
  <c r="M31"/>
  <c r="N31"/>
  <c r="O31"/>
  <c r="F32"/>
  <c r="G32"/>
  <c r="H32"/>
  <c r="I32"/>
  <c r="J32"/>
  <c r="K32"/>
  <c r="L32"/>
  <c r="M32"/>
  <c r="N32"/>
  <c r="O32"/>
  <c r="F33"/>
  <c r="G33"/>
  <c r="H33"/>
  <c r="I33"/>
  <c r="J33"/>
  <c r="K33"/>
  <c r="L33"/>
  <c r="M33"/>
  <c r="N33"/>
  <c r="O33"/>
  <c r="F34"/>
  <c r="G34"/>
  <c r="H34"/>
  <c r="I34"/>
  <c r="J34"/>
  <c r="K34"/>
  <c r="L34"/>
  <c r="M34"/>
  <c r="N34"/>
  <c r="O34"/>
  <c r="F35"/>
  <c r="G35"/>
  <c r="H35"/>
  <c r="I35"/>
  <c r="J35"/>
  <c r="K35"/>
  <c r="L35"/>
  <c r="M35"/>
  <c r="N35"/>
  <c r="O35"/>
  <c r="F36"/>
  <c r="G36"/>
  <c r="H36"/>
  <c r="I36"/>
  <c r="J36"/>
  <c r="K36"/>
  <c r="L36"/>
  <c r="M36"/>
  <c r="N36"/>
  <c r="O36"/>
  <c r="F37"/>
  <c r="G37"/>
  <c r="H37"/>
  <c r="I37"/>
  <c r="J37"/>
  <c r="K37"/>
  <c r="L37"/>
  <c r="M37"/>
  <c r="N37"/>
  <c r="O37"/>
  <c r="F38"/>
  <c r="G38"/>
  <c r="H38"/>
  <c r="I38"/>
  <c r="J38"/>
  <c r="K38"/>
  <c r="L38"/>
  <c r="M38"/>
  <c r="N38"/>
  <c r="O38"/>
  <c r="F39"/>
  <c r="G39"/>
  <c r="H39"/>
  <c r="I39"/>
  <c r="J39"/>
  <c r="K39"/>
  <c r="L39"/>
  <c r="M39"/>
  <c r="N39"/>
  <c r="O39"/>
  <c r="F40"/>
  <c r="G40"/>
  <c r="H40"/>
  <c r="I40"/>
  <c r="J40"/>
  <c r="K40"/>
  <c r="L40"/>
  <c r="M40"/>
  <c r="N40"/>
  <c r="O40"/>
  <c r="F41"/>
  <c r="G41"/>
  <c r="H41"/>
  <c r="I41"/>
  <c r="J41"/>
  <c r="K41"/>
  <c r="L41"/>
  <c r="M41"/>
  <c r="N41"/>
  <c r="O41"/>
  <c r="F42"/>
  <c r="G42"/>
  <c r="H42"/>
  <c r="I42"/>
  <c r="J42"/>
  <c r="K42"/>
  <c r="L42"/>
  <c r="M42"/>
  <c r="N42"/>
  <c r="O42"/>
  <c r="F43"/>
  <c r="G43"/>
  <c r="H43"/>
  <c r="I43"/>
  <c r="J43"/>
  <c r="K43"/>
  <c r="L43"/>
  <c r="M43"/>
  <c r="N43"/>
  <c r="O43"/>
  <c r="F44"/>
  <c r="G44"/>
  <c r="H44"/>
  <c r="I44"/>
  <c r="J44"/>
  <c r="K44"/>
  <c r="L44"/>
  <c r="M44"/>
  <c r="N44"/>
  <c r="O44"/>
  <c r="F45"/>
  <c r="G45"/>
  <c r="H45"/>
  <c r="I45"/>
  <c r="J45"/>
  <c r="K45"/>
  <c r="L45"/>
  <c r="M45"/>
  <c r="N45"/>
  <c r="O45"/>
  <c r="F46"/>
  <c r="G46"/>
  <c r="H46"/>
  <c r="I46"/>
  <c r="J46"/>
  <c r="K46"/>
  <c r="L46"/>
  <c r="M46"/>
  <c r="N46"/>
  <c r="O46"/>
  <c r="F47"/>
  <c r="G47"/>
  <c r="H47"/>
  <c r="I47"/>
  <c r="J47"/>
  <c r="K47"/>
  <c r="L47"/>
  <c r="M47"/>
  <c r="N47"/>
  <c r="O47"/>
  <c r="F48"/>
  <c r="G48"/>
  <c r="H48"/>
  <c r="I48"/>
  <c r="J48"/>
  <c r="K48"/>
  <c r="L48"/>
  <c r="M48"/>
  <c r="N48"/>
  <c r="O48"/>
  <c r="F49"/>
  <c r="G49"/>
  <c r="H49"/>
  <c r="I49"/>
  <c r="J49"/>
  <c r="K49"/>
  <c r="L49"/>
  <c r="M49"/>
  <c r="N49"/>
  <c r="O49"/>
  <c r="F50"/>
  <c r="G50"/>
  <c r="H50"/>
  <c r="I50"/>
  <c r="J50"/>
  <c r="K50"/>
  <c r="L50"/>
  <c r="M50"/>
  <c r="N50"/>
  <c r="O50"/>
  <c r="F51"/>
  <c r="G51"/>
  <c r="H51"/>
  <c r="I51"/>
  <c r="J51"/>
  <c r="K51"/>
  <c r="L51"/>
  <c r="M51"/>
  <c r="N51"/>
  <c r="O51"/>
  <c r="F52"/>
  <c r="G52"/>
  <c r="H52"/>
  <c r="I52"/>
  <c r="J52"/>
  <c r="K52"/>
  <c r="L52"/>
  <c r="M52"/>
  <c r="N52"/>
  <c r="O52"/>
  <c r="F53"/>
  <c r="G53"/>
  <c r="H53"/>
  <c r="I53"/>
  <c r="J53"/>
  <c r="K53"/>
  <c r="L53"/>
  <c r="M53"/>
  <c r="N53"/>
  <c r="O53"/>
  <c r="F54"/>
  <c r="G54"/>
  <c r="H54"/>
  <c r="I54"/>
  <c r="J54"/>
  <c r="K54"/>
  <c r="L54"/>
  <c r="M54"/>
  <c r="N54"/>
  <c r="O54"/>
  <c r="F55"/>
  <c r="G55"/>
  <c r="H55"/>
  <c r="I55"/>
  <c r="J55"/>
  <c r="K55"/>
  <c r="L55"/>
  <c r="M55"/>
  <c r="N55"/>
  <c r="O55"/>
  <c r="F56"/>
  <c r="G56"/>
  <c r="H56"/>
  <c r="I56"/>
  <c r="J56"/>
  <c r="K56"/>
  <c r="L56"/>
  <c r="M56"/>
  <c r="N56"/>
  <c r="O56"/>
  <c r="F57"/>
  <c r="G57"/>
  <c r="H57"/>
  <c r="I57"/>
  <c r="J57"/>
  <c r="K57"/>
  <c r="L57"/>
  <c r="M57"/>
  <c r="N57"/>
  <c r="O57"/>
  <c r="F58"/>
  <c r="G58"/>
  <c r="H58"/>
  <c r="I58"/>
  <c r="J58"/>
  <c r="K58"/>
  <c r="L58"/>
  <c r="M58"/>
  <c r="N58"/>
  <c r="O58"/>
  <c r="F59"/>
  <c r="G59"/>
  <c r="H59"/>
  <c r="I59"/>
  <c r="J59"/>
  <c r="K59"/>
  <c r="L59"/>
  <c r="M59"/>
  <c r="N59"/>
  <c r="O59"/>
  <c r="F60"/>
  <c r="G60"/>
  <c r="H60"/>
  <c r="I60"/>
  <c r="J60"/>
  <c r="K60"/>
  <c r="L60"/>
  <c r="M60"/>
  <c r="N60"/>
  <c r="O60"/>
  <c r="F61"/>
  <c r="G61"/>
  <c r="H61"/>
  <c r="I61"/>
  <c r="J61"/>
  <c r="K61"/>
  <c r="L61"/>
  <c r="M61"/>
  <c r="N61"/>
  <c r="O61"/>
  <c r="F62"/>
  <c r="G62"/>
  <c r="H62"/>
  <c r="I62"/>
  <c r="J62"/>
  <c r="K62"/>
  <c r="L62"/>
  <c r="M62"/>
  <c r="N62"/>
  <c r="O62"/>
  <c r="F63"/>
  <c r="G63"/>
  <c r="H63"/>
  <c r="I63"/>
  <c r="J63"/>
  <c r="K63"/>
  <c r="L63"/>
  <c r="M63"/>
  <c r="N63"/>
  <c r="O63"/>
  <c r="F64"/>
  <c r="G64"/>
  <c r="H64"/>
  <c r="I64"/>
  <c r="J64"/>
  <c r="K64"/>
  <c r="L64"/>
  <c r="M64"/>
  <c r="N64"/>
  <c r="O64"/>
  <c r="F65"/>
  <c r="G65"/>
  <c r="H65"/>
  <c r="I65"/>
  <c r="J65"/>
  <c r="K65"/>
  <c r="L65"/>
  <c r="M65"/>
  <c r="N65"/>
  <c r="O65"/>
  <c r="F66"/>
  <c r="G66"/>
  <c r="H66"/>
  <c r="I66"/>
  <c r="J66"/>
  <c r="K66"/>
  <c r="L66"/>
  <c r="M66"/>
  <c r="N66"/>
  <c r="O66"/>
  <c r="F67"/>
  <c r="G67"/>
  <c r="H67"/>
  <c r="I67"/>
  <c r="J67"/>
  <c r="K67"/>
  <c r="L67"/>
  <c r="M67"/>
  <c r="N67"/>
  <c r="O67"/>
  <c r="G11"/>
  <c r="H11"/>
  <c r="I11"/>
  <c r="J11"/>
  <c r="K11"/>
  <c r="L11"/>
  <c r="M11"/>
  <c r="N11"/>
  <c r="O11"/>
  <c r="F11"/>
  <c r="C336"/>
  <c r="C337" s="1"/>
  <c r="C338" s="1"/>
  <c r="C339" s="1"/>
  <c r="C340" s="1"/>
  <c r="C341" s="1"/>
  <c r="C342" s="1"/>
  <c r="C343" s="1"/>
  <c r="C344" s="1"/>
  <c r="C345" s="1"/>
  <c r="C346" s="1"/>
  <c r="C347" s="1"/>
  <c r="C348" s="1"/>
  <c r="C349" s="1"/>
  <c r="C350" s="1"/>
  <c r="C351" s="1"/>
  <c r="C352" s="1"/>
  <c r="C353" s="1"/>
  <c r="C354" s="1"/>
  <c r="C355" s="1"/>
  <c r="C356" s="1"/>
  <c r="C357" s="1"/>
  <c r="C358" s="1"/>
  <c r="C359" s="1"/>
  <c r="C360" s="1"/>
  <c r="C361" s="1"/>
  <c r="C362" s="1"/>
  <c r="C363" s="1"/>
  <c r="C364" s="1"/>
  <c r="C365" s="1"/>
  <c r="C366" s="1"/>
  <c r="C367" s="1"/>
  <c r="C368" s="1"/>
  <c r="C369" s="1"/>
  <c r="C370" s="1"/>
  <c r="C371" s="1"/>
  <c r="C372" s="1"/>
  <c r="C373" s="1"/>
  <c r="C374" s="1"/>
  <c r="C375" s="1"/>
  <c r="C376" s="1"/>
  <c r="C377" s="1"/>
  <c r="C378" s="1"/>
  <c r="C379" s="1"/>
  <c r="C380" s="1"/>
  <c r="C381" s="1"/>
  <c r="C382" s="1"/>
  <c r="C383" s="1"/>
  <c r="C384" s="1"/>
  <c r="C385" s="1"/>
  <c r="C386" s="1"/>
  <c r="C387" s="1"/>
  <c r="C388" s="1"/>
  <c r="C389" s="1"/>
  <c r="C390" s="1"/>
  <c r="C391" s="1"/>
  <c r="C392" s="1"/>
  <c r="C393" s="1"/>
  <c r="C394" s="1"/>
  <c r="C395" s="1"/>
  <c r="C396" s="1"/>
  <c r="C397" s="1"/>
  <c r="C398" s="1"/>
  <c r="C399" s="1"/>
  <c r="C400" s="1"/>
  <c r="C401" s="1"/>
  <c r="C402" s="1"/>
  <c r="C403" s="1"/>
  <c r="C404" s="1"/>
  <c r="C405" s="1"/>
  <c r="C406" s="1"/>
  <c r="C407" s="1"/>
  <c r="C408" s="1"/>
  <c r="C409" s="1"/>
  <c r="C410" s="1"/>
  <c r="C411" s="1"/>
  <c r="C412" s="1"/>
  <c r="C413" s="1"/>
  <c r="C414" s="1"/>
  <c r="C415" s="1"/>
  <c r="C416" s="1"/>
  <c r="C417" s="1"/>
  <c r="C418" s="1"/>
  <c r="C419" s="1"/>
  <c r="C420" s="1"/>
  <c r="C421" s="1"/>
  <c r="C422" s="1"/>
  <c r="C423" s="1"/>
  <c r="C424" s="1"/>
  <c r="C425" s="1"/>
  <c r="C426" s="1"/>
  <c r="C427" s="1"/>
  <c r="C428" s="1"/>
  <c r="C429" s="1"/>
  <c r="C430" s="1"/>
  <c r="C431" s="1"/>
  <c r="C432" s="1"/>
  <c r="C433" s="1"/>
  <c r="C434" s="1"/>
  <c r="C435" s="1"/>
  <c r="C436" s="1"/>
  <c r="C437" s="1"/>
  <c r="C438" s="1"/>
  <c r="C439" s="1"/>
  <c r="C440" s="1"/>
  <c r="C441" s="1"/>
  <c r="C442" s="1"/>
  <c r="C443" s="1"/>
  <c r="C444" s="1"/>
  <c r="C445" s="1"/>
  <c r="C446" s="1"/>
  <c r="C447" s="1"/>
  <c r="C448" s="1"/>
  <c r="C449" s="1"/>
  <c r="C450" s="1"/>
  <c r="C451" s="1"/>
  <c r="C452" s="1"/>
  <c r="C453" s="1"/>
  <c r="C454" s="1"/>
  <c r="C455" s="1"/>
  <c r="C456" s="1"/>
  <c r="C457" s="1"/>
  <c r="C458" s="1"/>
  <c r="C459" s="1"/>
  <c r="C460" s="1"/>
  <c r="C461" s="1"/>
  <c r="C462" s="1"/>
  <c r="C463" s="1"/>
  <c r="C464" s="1"/>
  <c r="C465" s="1"/>
  <c r="C466" s="1"/>
  <c r="C467" s="1"/>
  <c r="C468" s="1"/>
  <c r="C469" s="1"/>
  <c r="C470" s="1"/>
  <c r="C471" s="1"/>
  <c r="C472" s="1"/>
  <c r="C473" s="1"/>
  <c r="C474" s="1"/>
  <c r="C475" s="1"/>
  <c r="C476" s="1"/>
  <c r="C477" s="1"/>
  <c r="C478" s="1"/>
  <c r="C479" s="1"/>
  <c r="C480" s="1"/>
  <c r="C481" s="1"/>
  <c r="C482" s="1"/>
  <c r="C483" s="1"/>
  <c r="C484" s="1"/>
  <c r="C485" s="1"/>
  <c r="C486" s="1"/>
  <c r="C487" s="1"/>
  <c r="C488" s="1"/>
  <c r="C489" s="1"/>
  <c r="C490" s="1"/>
  <c r="C491" s="1"/>
  <c r="C492" s="1"/>
  <c r="C493" s="1"/>
  <c r="C494" s="1"/>
  <c r="C495" s="1"/>
  <c r="C496" s="1"/>
  <c r="C497" s="1"/>
  <c r="C498" s="1"/>
  <c r="C499" s="1"/>
  <c r="C500" s="1"/>
  <c r="C501" s="1"/>
  <c r="C502" s="1"/>
  <c r="C503" s="1"/>
  <c r="C504" s="1"/>
  <c r="C505" s="1"/>
  <c r="C506" s="1"/>
  <c r="C507" s="1"/>
  <c r="C508" s="1"/>
  <c r="C509" s="1"/>
  <c r="C510" s="1"/>
  <c r="C511" s="1"/>
  <c r="C512" s="1"/>
  <c r="C513" s="1"/>
  <c r="C514" s="1"/>
  <c r="C515" s="1"/>
  <c r="C516" s="1"/>
  <c r="C517" s="1"/>
  <c r="C518" s="1"/>
  <c r="C519" s="1"/>
  <c r="C520" s="1"/>
  <c r="C521" s="1"/>
  <c r="C522" s="1"/>
  <c r="C523" s="1"/>
  <c r="C524" s="1"/>
  <c r="C525" s="1"/>
  <c r="C526" s="1"/>
  <c r="C527" s="1"/>
  <c r="C528" s="1"/>
  <c r="C529" s="1"/>
  <c r="C530" s="1"/>
  <c r="C531" s="1"/>
  <c r="C532" s="1"/>
  <c r="C533" s="1"/>
  <c r="C534" s="1"/>
  <c r="C535" s="1"/>
  <c r="C536" s="1"/>
  <c r="C537" s="1"/>
  <c r="C538" s="1"/>
  <c r="C539" s="1"/>
  <c r="C540" s="1"/>
  <c r="C541" s="1"/>
  <c r="C542" s="1"/>
  <c r="C543" s="1"/>
  <c r="C544" s="1"/>
  <c r="C545" s="1"/>
  <c r="C546" s="1"/>
  <c r="C547" s="1"/>
  <c r="C548" s="1"/>
  <c r="C549" s="1"/>
  <c r="C550" s="1"/>
  <c r="C551" s="1"/>
  <c r="C552" s="1"/>
  <c r="C553" s="1"/>
  <c r="C554" s="1"/>
  <c r="C555" s="1"/>
  <c r="C556" s="1"/>
  <c r="C557" s="1"/>
  <c r="C558" s="1"/>
  <c r="C559" s="1"/>
  <c r="C560" s="1"/>
  <c r="C561" s="1"/>
  <c r="C562" s="1"/>
  <c r="C563" s="1"/>
  <c r="C564" s="1"/>
  <c r="C565" s="1"/>
  <c r="C566" s="1"/>
  <c r="C567" s="1"/>
  <c r="C568" s="1"/>
  <c r="C569" s="1"/>
  <c r="C570" s="1"/>
  <c r="C571" s="1"/>
  <c r="C572" s="1"/>
  <c r="C573" s="1"/>
  <c r="C574" s="1"/>
  <c r="C575" s="1"/>
  <c r="C576" s="1"/>
  <c r="C577" s="1"/>
  <c r="C578" s="1"/>
  <c r="C579" s="1"/>
  <c r="C580" s="1"/>
  <c r="C581" s="1"/>
  <c r="C582" s="1"/>
  <c r="C583" s="1"/>
  <c r="C584" s="1"/>
  <c r="C585" s="1"/>
  <c r="C586" s="1"/>
  <c r="C587" s="1"/>
  <c r="C588" s="1"/>
  <c r="C589" s="1"/>
  <c r="C590" s="1"/>
  <c r="C591" s="1"/>
  <c r="C592" s="1"/>
  <c r="C593" s="1"/>
  <c r="C594" s="1"/>
  <c r="C595" s="1"/>
  <c r="C596" s="1"/>
  <c r="C597" s="1"/>
  <c r="C598" s="1"/>
  <c r="C599" s="1"/>
  <c r="C600" s="1"/>
  <c r="C601" s="1"/>
  <c r="C602" s="1"/>
  <c r="C603" s="1"/>
  <c r="C604" s="1"/>
  <c r="C605" s="1"/>
  <c r="C606" s="1"/>
  <c r="C607" s="1"/>
  <c r="C608" s="1"/>
  <c r="C609" s="1"/>
  <c r="C610" s="1"/>
  <c r="C611" s="1"/>
  <c r="C612" s="1"/>
  <c r="C613" s="1"/>
  <c r="C614" s="1"/>
  <c r="C615" s="1"/>
  <c r="C616" s="1"/>
  <c r="E25"/>
  <c r="E26" s="1"/>
  <c r="F10"/>
  <c r="G10"/>
  <c r="H10"/>
  <c r="I10"/>
  <c r="J10"/>
  <c r="K10"/>
  <c r="L10"/>
  <c r="M10"/>
  <c r="N10"/>
  <c r="O10"/>
  <c r="G9"/>
  <c r="H9"/>
  <c r="I9"/>
  <c r="J9"/>
  <c r="K9"/>
  <c r="L9"/>
  <c r="M9"/>
  <c r="N9"/>
  <c r="O9"/>
  <c r="F9"/>
  <c r="C28"/>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137" s="1"/>
  <c r="C138" s="1"/>
  <c r="C139" s="1"/>
  <c r="C140" s="1"/>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C170" s="1"/>
  <c r="C171" s="1"/>
  <c r="C172" s="1"/>
  <c r="C173" s="1"/>
  <c r="C174" s="1"/>
  <c r="C175" s="1"/>
  <c r="C176" s="1"/>
  <c r="C177" s="1"/>
  <c r="C178" s="1"/>
  <c r="C179" s="1"/>
  <c r="C180" s="1"/>
  <c r="C181" s="1"/>
  <c r="C182" s="1"/>
  <c r="C183" s="1"/>
  <c r="C184" s="1"/>
  <c r="C185" s="1"/>
  <c r="C186" s="1"/>
  <c r="C187" s="1"/>
  <c r="C188" s="1"/>
  <c r="C189" s="1"/>
  <c r="C190" s="1"/>
  <c r="C191" s="1"/>
  <c r="C192" s="1"/>
  <c r="C193" s="1"/>
  <c r="C194" s="1"/>
  <c r="C195" s="1"/>
  <c r="C196" s="1"/>
  <c r="C197" s="1"/>
  <c r="C198" s="1"/>
  <c r="C199" s="1"/>
  <c r="C200" s="1"/>
  <c r="C201" s="1"/>
  <c r="C202" s="1"/>
  <c r="C203" s="1"/>
  <c r="C204" s="1"/>
  <c r="C205" s="1"/>
  <c r="C206" s="1"/>
  <c r="C207" s="1"/>
  <c r="C208" s="1"/>
  <c r="C209" s="1"/>
  <c r="C210" s="1"/>
  <c r="C211" s="1"/>
  <c r="C212" s="1"/>
  <c r="C213" s="1"/>
  <c r="C214" s="1"/>
  <c r="C215" s="1"/>
  <c r="C216" s="1"/>
  <c r="C217" s="1"/>
  <c r="C218" s="1"/>
  <c r="C219" s="1"/>
  <c r="C220" s="1"/>
  <c r="C221" s="1"/>
  <c r="C222" s="1"/>
  <c r="C223" s="1"/>
  <c r="C224" s="1"/>
  <c r="C225" s="1"/>
  <c r="C226" s="1"/>
  <c r="C227" s="1"/>
  <c r="C228" s="1"/>
  <c r="C229" s="1"/>
  <c r="C230" s="1"/>
  <c r="C231" s="1"/>
  <c r="C232" s="1"/>
  <c r="C233" s="1"/>
  <c r="C234" s="1"/>
  <c r="C235" s="1"/>
  <c r="C236" s="1"/>
  <c r="C237" s="1"/>
  <c r="C238" s="1"/>
  <c r="C239" s="1"/>
  <c r="C240" s="1"/>
  <c r="C241" s="1"/>
  <c r="C242" s="1"/>
  <c r="C243" s="1"/>
  <c r="C244" s="1"/>
  <c r="C245" s="1"/>
  <c r="C246" s="1"/>
  <c r="C247" s="1"/>
  <c r="C248" s="1"/>
  <c r="C249" s="1"/>
  <c r="C250" s="1"/>
  <c r="C251" s="1"/>
  <c r="C252" s="1"/>
  <c r="C253" s="1"/>
  <c r="C254" s="1"/>
  <c r="C255" s="1"/>
  <c r="C256" s="1"/>
  <c r="C257" s="1"/>
  <c r="C258" s="1"/>
  <c r="C259" s="1"/>
  <c r="C260" s="1"/>
  <c r="C261" s="1"/>
  <c r="C262" s="1"/>
  <c r="C263" s="1"/>
  <c r="C264" s="1"/>
  <c r="C265" s="1"/>
  <c r="C266" s="1"/>
  <c r="C267" s="1"/>
  <c r="C268" s="1"/>
  <c r="C269" s="1"/>
  <c r="C270" s="1"/>
  <c r="C271" s="1"/>
  <c r="C272" s="1"/>
  <c r="C273" s="1"/>
  <c r="C274" s="1"/>
  <c r="C275" s="1"/>
  <c r="C276" s="1"/>
  <c r="C277" s="1"/>
  <c r="C278" s="1"/>
  <c r="C279" s="1"/>
  <c r="C280" s="1"/>
  <c r="C281" s="1"/>
  <c r="C282" s="1"/>
  <c r="C283" s="1"/>
  <c r="C284" s="1"/>
  <c r="C285" s="1"/>
  <c r="C286" s="1"/>
  <c r="C287" s="1"/>
  <c r="C288" s="1"/>
  <c r="C289" s="1"/>
  <c r="C290" s="1"/>
  <c r="C291" s="1"/>
  <c r="C292" s="1"/>
  <c r="C293" s="1"/>
  <c r="C294" s="1"/>
  <c r="C295" s="1"/>
  <c r="C296" s="1"/>
  <c r="C297" s="1"/>
  <c r="C298" s="1"/>
  <c r="C299" s="1"/>
  <c r="C300" s="1"/>
  <c r="C301" s="1"/>
  <c r="C302" s="1"/>
  <c r="C303" s="1"/>
  <c r="C304" s="1"/>
  <c r="C305" s="1"/>
  <c r="C306" s="1"/>
  <c r="C307" s="1"/>
  <c r="C308" s="1"/>
  <c r="C309" s="1"/>
  <c r="C310" s="1"/>
  <c r="C311" s="1"/>
  <c r="C312" s="1"/>
  <c r="C313" s="1"/>
  <c r="C314" s="1"/>
  <c r="C315" s="1"/>
  <c r="C316" s="1"/>
  <c r="C317" s="1"/>
  <c r="C318" s="1"/>
  <c r="C319" s="1"/>
  <c r="C320" s="1"/>
  <c r="C321" s="1"/>
  <c r="C322" s="1"/>
  <c r="C323" s="1"/>
  <c r="C324" s="1"/>
  <c r="C325" s="1"/>
  <c r="C326" s="1"/>
  <c r="C327" s="1"/>
  <c r="C328" s="1"/>
  <c r="C329" s="1"/>
  <c r="C330" s="1"/>
  <c r="C331" s="1"/>
  <c r="C332" s="1"/>
  <c r="C333" s="1"/>
  <c r="C334" s="1"/>
  <c r="C335" s="1"/>
  <c r="E9"/>
  <c r="E10" s="1"/>
  <c r="E11" s="1"/>
  <c r="E12" s="1"/>
  <c r="E13" s="1"/>
  <c r="E14" s="1"/>
  <c r="E15" s="1"/>
  <c r="E16" s="1"/>
  <c r="E17" s="1"/>
  <c r="E18" s="1"/>
  <c r="E19" s="1"/>
  <c r="E20" s="1"/>
  <c r="E21" s="1"/>
  <c r="E22" s="1"/>
  <c r="E23" s="1"/>
  <c r="E24" s="1"/>
  <c r="E8"/>
  <c r="H8" s="1"/>
  <c r="J8"/>
  <c r="O8"/>
  <c r="C26"/>
  <c r="C27"/>
  <c r="L7"/>
  <c r="M7"/>
  <c r="N7"/>
  <c r="O7"/>
  <c r="G7"/>
  <c r="H7"/>
  <c r="I7"/>
  <c r="J7"/>
  <c r="K7"/>
  <c r="F7"/>
  <c r="C9"/>
  <c r="C10" s="1"/>
  <c r="C11" s="1"/>
  <c r="C12" s="1"/>
  <c r="C13" s="1"/>
  <c r="C14" s="1"/>
  <c r="C15" s="1"/>
  <c r="C16" s="1"/>
  <c r="C17" s="1"/>
  <c r="C18" s="1"/>
  <c r="C19" s="1"/>
  <c r="C20" s="1"/>
  <c r="C21" s="1"/>
  <c r="C22" s="1"/>
  <c r="C23" s="1"/>
  <c r="C24" s="1"/>
  <c r="C25" s="1"/>
  <c r="C8"/>
  <c r="A18"/>
  <c r="A19"/>
  <c r="A29" s="1"/>
  <c r="A39" s="1"/>
  <c r="A49" s="1"/>
  <c r="A59" s="1"/>
  <c r="A69" s="1"/>
  <c r="A79" s="1"/>
  <c r="A89" s="1"/>
  <c r="A99" s="1"/>
  <c r="A109" s="1"/>
  <c r="A119" s="1"/>
  <c r="A129" s="1"/>
  <c r="A139" s="1"/>
  <c r="A149" s="1"/>
  <c r="A159" s="1"/>
  <c r="A169" s="1"/>
  <c r="A179" s="1"/>
  <c r="A189" s="1"/>
  <c r="A199" s="1"/>
  <c r="A209" s="1"/>
  <c r="A219" s="1"/>
  <c r="A229" s="1"/>
  <c r="A239" s="1"/>
  <c r="A249" s="1"/>
  <c r="A259" s="1"/>
  <c r="A269" s="1"/>
  <c r="A279" s="1"/>
  <c r="A20"/>
  <c r="A30" s="1"/>
  <c r="A40" s="1"/>
  <c r="A50" s="1"/>
  <c r="A60" s="1"/>
  <c r="A70" s="1"/>
  <c r="A80" s="1"/>
  <c r="A90" s="1"/>
  <c r="A100" s="1"/>
  <c r="A110" s="1"/>
  <c r="A120" s="1"/>
  <c r="A130" s="1"/>
  <c r="A140" s="1"/>
  <c r="A150" s="1"/>
  <c r="A160" s="1"/>
  <c r="A170" s="1"/>
  <c r="A180" s="1"/>
  <c r="A190" s="1"/>
  <c r="A200" s="1"/>
  <c r="A210" s="1"/>
  <c r="A220" s="1"/>
  <c r="A230" s="1"/>
  <c r="A240" s="1"/>
  <c r="A250" s="1"/>
  <c r="A260" s="1"/>
  <c r="A270" s="1"/>
  <c r="A280" s="1"/>
  <c r="A21"/>
  <c r="A22"/>
  <c r="A23"/>
  <c r="A33" s="1"/>
  <c r="A43" s="1"/>
  <c r="A53" s="1"/>
  <c r="A63" s="1"/>
  <c r="A73" s="1"/>
  <c r="A83" s="1"/>
  <c r="A93" s="1"/>
  <c r="A103" s="1"/>
  <c r="A113" s="1"/>
  <c r="A123" s="1"/>
  <c r="A133" s="1"/>
  <c r="A143" s="1"/>
  <c r="A153" s="1"/>
  <c r="A163" s="1"/>
  <c r="A173" s="1"/>
  <c r="A183" s="1"/>
  <c r="A193" s="1"/>
  <c r="A203" s="1"/>
  <c r="A213" s="1"/>
  <c r="A223" s="1"/>
  <c r="A233" s="1"/>
  <c r="A243" s="1"/>
  <c r="A253" s="1"/>
  <c r="A263" s="1"/>
  <c r="A273" s="1"/>
  <c r="A283" s="1"/>
  <c r="A24"/>
  <c r="A34" s="1"/>
  <c r="A44" s="1"/>
  <c r="A54" s="1"/>
  <c r="A64" s="1"/>
  <c r="A74" s="1"/>
  <c r="A84" s="1"/>
  <c r="A94" s="1"/>
  <c r="A104" s="1"/>
  <c r="A114" s="1"/>
  <c r="A124" s="1"/>
  <c r="A134" s="1"/>
  <c r="A144" s="1"/>
  <c r="A154" s="1"/>
  <c r="A164" s="1"/>
  <c r="A174" s="1"/>
  <c r="A184" s="1"/>
  <c r="A194" s="1"/>
  <c r="A204" s="1"/>
  <c r="A214" s="1"/>
  <c r="A224" s="1"/>
  <c r="A234" s="1"/>
  <c r="A244" s="1"/>
  <c r="A254" s="1"/>
  <c r="A264" s="1"/>
  <c r="A274" s="1"/>
  <c r="A284" s="1"/>
  <c r="A25"/>
  <c r="A26"/>
  <c r="A27"/>
  <c r="A37" s="1"/>
  <c r="A47" s="1"/>
  <c r="A57" s="1"/>
  <c r="A67" s="1"/>
  <c r="A77" s="1"/>
  <c r="A87" s="1"/>
  <c r="A97" s="1"/>
  <c r="A107" s="1"/>
  <c r="A117" s="1"/>
  <c r="A127" s="1"/>
  <c r="A137" s="1"/>
  <c r="A147" s="1"/>
  <c r="A157" s="1"/>
  <c r="A167" s="1"/>
  <c r="A177" s="1"/>
  <c r="A187" s="1"/>
  <c r="A197" s="1"/>
  <c r="A207" s="1"/>
  <c r="A217" s="1"/>
  <c r="A227" s="1"/>
  <c r="A237" s="1"/>
  <c r="A247" s="1"/>
  <c r="A257" s="1"/>
  <c r="A267" s="1"/>
  <c r="A277" s="1"/>
  <c r="A28"/>
  <c r="A38" s="1"/>
  <c r="A48" s="1"/>
  <c r="A58" s="1"/>
  <c r="A68" s="1"/>
  <c r="A78" s="1"/>
  <c r="A88" s="1"/>
  <c r="A98" s="1"/>
  <c r="A108" s="1"/>
  <c r="A118" s="1"/>
  <c r="A128" s="1"/>
  <c r="A138" s="1"/>
  <c r="A148" s="1"/>
  <c r="A158" s="1"/>
  <c r="A168" s="1"/>
  <c r="A178" s="1"/>
  <c r="A188" s="1"/>
  <c r="A198" s="1"/>
  <c r="A208" s="1"/>
  <c r="A218" s="1"/>
  <c r="A228" s="1"/>
  <c r="A238" s="1"/>
  <c r="A248" s="1"/>
  <c r="A258" s="1"/>
  <c r="A268" s="1"/>
  <c r="A278" s="1"/>
  <c r="A31"/>
  <c r="A41" s="1"/>
  <c r="A51" s="1"/>
  <c r="A61" s="1"/>
  <c r="A71" s="1"/>
  <c r="A81" s="1"/>
  <c r="A91" s="1"/>
  <c r="A101" s="1"/>
  <c r="A111" s="1"/>
  <c r="A121" s="1"/>
  <c r="A131" s="1"/>
  <c r="A141" s="1"/>
  <c r="A151" s="1"/>
  <c r="A161" s="1"/>
  <c r="A171" s="1"/>
  <c r="A181" s="1"/>
  <c r="A191" s="1"/>
  <c r="A201" s="1"/>
  <c r="A211" s="1"/>
  <c r="A221" s="1"/>
  <c r="A231" s="1"/>
  <c r="A241" s="1"/>
  <c r="A251" s="1"/>
  <c r="A261" s="1"/>
  <c r="A271" s="1"/>
  <c r="A281" s="1"/>
  <c r="A32"/>
  <c r="A42" s="1"/>
  <c r="A52" s="1"/>
  <c r="A62" s="1"/>
  <c r="A72" s="1"/>
  <c r="A82" s="1"/>
  <c r="A92" s="1"/>
  <c r="A102" s="1"/>
  <c r="A112" s="1"/>
  <c r="A122" s="1"/>
  <c r="A132" s="1"/>
  <c r="A142" s="1"/>
  <c r="A152" s="1"/>
  <c r="A162" s="1"/>
  <c r="A172" s="1"/>
  <c r="A182" s="1"/>
  <c r="A192" s="1"/>
  <c r="A202" s="1"/>
  <c r="A212" s="1"/>
  <c r="A222" s="1"/>
  <c r="A232" s="1"/>
  <c r="A242" s="1"/>
  <c r="A252" s="1"/>
  <c r="A262" s="1"/>
  <c r="A272" s="1"/>
  <c r="A282" s="1"/>
  <c r="A35"/>
  <c r="A45" s="1"/>
  <c r="A55" s="1"/>
  <c r="A65" s="1"/>
  <c r="A75" s="1"/>
  <c r="A85" s="1"/>
  <c r="A95" s="1"/>
  <c r="A105" s="1"/>
  <c r="A115" s="1"/>
  <c r="A125" s="1"/>
  <c r="A135" s="1"/>
  <c r="A145" s="1"/>
  <c r="A155" s="1"/>
  <c r="A165" s="1"/>
  <c r="A175" s="1"/>
  <c r="A185" s="1"/>
  <c r="A195" s="1"/>
  <c r="A205" s="1"/>
  <c r="A215" s="1"/>
  <c r="A225" s="1"/>
  <c r="A235" s="1"/>
  <c r="A245" s="1"/>
  <c r="A255" s="1"/>
  <c r="A265" s="1"/>
  <c r="A275" s="1"/>
  <c r="A285" s="1"/>
  <c r="A36"/>
  <c r="A46" s="1"/>
  <c r="A56" s="1"/>
  <c r="A66" s="1"/>
  <c r="A76" s="1"/>
  <c r="A86" s="1"/>
  <c r="A96" s="1"/>
  <c r="A106" s="1"/>
  <c r="A116" s="1"/>
  <c r="A126" s="1"/>
  <c r="A136" s="1"/>
  <c r="A146" s="1"/>
  <c r="A156" s="1"/>
  <c r="A166" s="1"/>
  <c r="A176" s="1"/>
  <c r="A186" s="1"/>
  <c r="A196" s="1"/>
  <c r="A206" s="1"/>
  <c r="A216" s="1"/>
  <c r="A226" s="1"/>
  <c r="A236" s="1"/>
  <c r="A246" s="1"/>
  <c r="A256" s="1"/>
  <c r="A266" s="1"/>
  <c r="A276" s="1"/>
  <c r="A286" s="1"/>
  <c r="A17"/>
  <c r="O6"/>
  <c r="H6"/>
  <c r="I6" s="1"/>
  <c r="J6" s="1"/>
  <c r="K6" s="1"/>
  <c r="L6" s="1"/>
  <c r="M6" s="1"/>
  <c r="N6" s="1"/>
  <c r="G6"/>
  <c r="B18"/>
  <c r="B27"/>
  <c r="B37" s="1"/>
  <c r="B47" s="1"/>
  <c r="B57" s="1"/>
  <c r="B67" s="1"/>
  <c r="B77" s="1"/>
  <c r="B87" s="1"/>
  <c r="B97" s="1"/>
  <c r="B107" s="1"/>
  <c r="B117" s="1"/>
  <c r="B127" s="1"/>
  <c r="B137" s="1"/>
  <c r="B147" s="1"/>
  <c r="B157" s="1"/>
  <c r="B167" s="1"/>
  <c r="B177" s="1"/>
  <c r="B187" s="1"/>
  <c r="B197" s="1"/>
  <c r="B207" s="1"/>
  <c r="B217" s="1"/>
  <c r="B227" s="1"/>
  <c r="B237" s="1"/>
  <c r="B247" s="1"/>
  <c r="B257" s="1"/>
  <c r="B267" s="1"/>
  <c r="B277" s="1"/>
  <c r="B28"/>
  <c r="B38" s="1"/>
  <c r="B48" s="1"/>
  <c r="B58" s="1"/>
  <c r="B68" s="1"/>
  <c r="B78" s="1"/>
  <c r="B88" s="1"/>
  <c r="B98" s="1"/>
  <c r="B108" s="1"/>
  <c r="B118" s="1"/>
  <c r="B128" s="1"/>
  <c r="B138" s="1"/>
  <c r="B148" s="1"/>
  <c r="B158" s="1"/>
  <c r="B168" s="1"/>
  <c r="B178" s="1"/>
  <c r="B188" s="1"/>
  <c r="B198" s="1"/>
  <c r="B208" s="1"/>
  <c r="B218" s="1"/>
  <c r="B228" s="1"/>
  <c r="B238" s="1"/>
  <c r="B248" s="1"/>
  <c r="B258" s="1"/>
  <c r="B268" s="1"/>
  <c r="B278" s="1"/>
  <c r="B17"/>
  <c r="B9"/>
  <c r="B19" s="1"/>
  <c r="B29" s="1"/>
  <c r="B39" s="1"/>
  <c r="B49" s="1"/>
  <c r="B59" s="1"/>
  <c r="B69" s="1"/>
  <c r="B79" s="1"/>
  <c r="B89" s="1"/>
  <c r="B99" s="1"/>
  <c r="B109" s="1"/>
  <c r="B119" s="1"/>
  <c r="B129" s="1"/>
  <c r="B139" s="1"/>
  <c r="B149" s="1"/>
  <c r="B159" s="1"/>
  <c r="B169" s="1"/>
  <c r="B179" s="1"/>
  <c r="B189" s="1"/>
  <c r="B199" s="1"/>
  <c r="B209" s="1"/>
  <c r="B219" s="1"/>
  <c r="B229" s="1"/>
  <c r="B239" s="1"/>
  <c r="B249" s="1"/>
  <c r="B259" s="1"/>
  <c r="B269" s="1"/>
  <c r="B279" s="1"/>
  <c r="B8"/>
  <c r="AD34" i="5" l="1"/>
  <c r="AE34" s="1"/>
  <c r="AD33"/>
  <c r="AE33" s="1"/>
  <c r="AD8"/>
  <c r="AE8" s="1"/>
  <c r="AD40"/>
  <c r="AE40" s="1"/>
  <c r="AD11"/>
  <c r="AE11" s="1"/>
  <c r="AF11" s="1"/>
  <c r="AD15"/>
  <c r="AE15" s="1"/>
  <c r="AF15" s="1"/>
  <c r="AD36"/>
  <c r="AE36" s="1"/>
  <c r="AD14"/>
  <c r="AE14" s="1"/>
  <c r="AD6"/>
  <c r="AE6" s="1"/>
  <c r="E19" i="3"/>
  <c r="M6" i="5"/>
  <c r="N6" s="1"/>
  <c r="M9"/>
  <c r="M12"/>
  <c r="N12" s="1"/>
  <c r="P12" s="1"/>
  <c r="M15"/>
  <c r="M18"/>
  <c r="M21"/>
  <c r="M24"/>
  <c r="N24" s="1"/>
  <c r="P24" s="1"/>
  <c r="M27"/>
  <c r="N27" s="1"/>
  <c r="P27" s="1"/>
  <c r="M30"/>
  <c r="M33"/>
  <c r="AD41"/>
  <c r="AE41" s="1"/>
  <c r="AD9"/>
  <c r="AE9" s="1"/>
  <c r="AF9" s="1"/>
  <c r="AD37"/>
  <c r="AE37" s="1"/>
  <c r="AD12"/>
  <c r="AE12" s="1"/>
  <c r="AF12" s="1"/>
  <c r="AD16"/>
  <c r="AE16" s="1"/>
  <c r="AF16" s="1"/>
  <c r="E20" i="3"/>
  <c r="F104" i="5"/>
  <c r="H8" i="3"/>
  <c r="M10" i="5" s="1"/>
  <c r="N10" s="1"/>
  <c r="P10" s="1"/>
  <c r="N33"/>
  <c r="P33" s="1"/>
  <c r="N30"/>
  <c r="P30" s="1"/>
  <c r="N18"/>
  <c r="P18" s="1"/>
  <c r="N9"/>
  <c r="P9" s="1"/>
  <c r="N21"/>
  <c r="P21" s="1"/>
  <c r="N15"/>
  <c r="P15" s="1"/>
  <c r="Q33" i="1"/>
  <c r="R33" s="1"/>
  <c r="R69" s="1"/>
  <c r="D44" i="3" s="1"/>
  <c r="R67" i="9"/>
  <c r="R59"/>
  <c r="R51"/>
  <c r="R43"/>
  <c r="R35"/>
  <c r="R27"/>
  <c r="R19"/>
  <c r="R11"/>
  <c r="R64"/>
  <c r="R60"/>
  <c r="R56"/>
  <c r="R52"/>
  <c r="R48"/>
  <c r="R44"/>
  <c r="R40"/>
  <c r="R36"/>
  <c r="R32"/>
  <c r="R28"/>
  <c r="R24"/>
  <c r="R20"/>
  <c r="R16"/>
  <c r="R12"/>
  <c r="R8"/>
  <c r="R63"/>
  <c r="R55"/>
  <c r="R47"/>
  <c r="R39"/>
  <c r="R31"/>
  <c r="R23"/>
  <c r="R15"/>
  <c r="R7"/>
  <c r="R65"/>
  <c r="R61"/>
  <c r="R57"/>
  <c r="R53"/>
  <c r="R49"/>
  <c r="R45"/>
  <c r="R41"/>
  <c r="R37"/>
  <c r="R33"/>
  <c r="R29"/>
  <c r="R25"/>
  <c r="R21"/>
  <c r="R17"/>
  <c r="R13"/>
  <c r="I7"/>
  <c r="F8"/>
  <c r="H8"/>
  <c r="K8"/>
  <c r="G8"/>
  <c r="K6"/>
  <c r="J7"/>
  <c r="J8"/>
  <c r="I8"/>
  <c r="B10"/>
  <c r="H6" i="7"/>
  <c r="G9"/>
  <c r="C619"/>
  <c r="F58"/>
  <c r="G8"/>
  <c r="H9"/>
  <c r="F9"/>
  <c r="B9"/>
  <c r="I6"/>
  <c r="F8"/>
  <c r="E27" i="1"/>
  <c r="F8"/>
  <c r="K8"/>
  <c r="I8"/>
  <c r="L8"/>
  <c r="G8"/>
  <c r="N8"/>
  <c r="M8"/>
  <c r="B10"/>
  <c r="M28" i="5" l="1"/>
  <c r="N28" s="1"/>
  <c r="P28" s="1"/>
  <c r="M16"/>
  <c r="N16" s="1"/>
  <c r="P16" s="1"/>
  <c r="M25"/>
  <c r="N25" s="1"/>
  <c r="P25" s="1"/>
  <c r="M13"/>
  <c r="N13" s="1"/>
  <c r="P13" s="1"/>
  <c r="M31"/>
  <c r="N31" s="1"/>
  <c r="P31" s="1"/>
  <c r="M19"/>
  <c r="N19" s="1"/>
  <c r="P19" s="1"/>
  <c r="M7"/>
  <c r="N7" s="1"/>
  <c r="P7" s="1"/>
  <c r="M34"/>
  <c r="N34" s="1"/>
  <c r="P34" s="1"/>
  <c r="M22"/>
  <c r="N22" s="1"/>
  <c r="P22" s="1"/>
  <c r="J104"/>
  <c r="G104"/>
  <c r="AI41"/>
  <c r="AF41"/>
  <c r="AF6"/>
  <c r="AI34"/>
  <c r="AF34"/>
  <c r="AD13"/>
  <c r="AE13" s="1"/>
  <c r="AF13" s="1"/>
  <c r="AD17"/>
  <c r="AE17" s="1"/>
  <c r="AF17" s="1"/>
  <c r="AD10"/>
  <c r="AE10" s="1"/>
  <c r="AF10" s="1"/>
  <c r="AD42"/>
  <c r="AE42" s="1"/>
  <c r="AE45" s="1"/>
  <c r="AD35"/>
  <c r="AE35" s="1"/>
  <c r="AD38"/>
  <c r="AE38" s="1"/>
  <c r="AD39"/>
  <c r="AE39" s="1"/>
  <c r="AD7"/>
  <c r="AE7" s="1"/>
  <c r="AF7" s="1"/>
  <c r="E21" i="3"/>
  <c r="M8" i="5"/>
  <c r="N8" s="1"/>
  <c r="P8" s="1"/>
  <c r="M11"/>
  <c r="N11" s="1"/>
  <c r="P11" s="1"/>
  <c r="M14"/>
  <c r="N14" s="1"/>
  <c r="P14" s="1"/>
  <c r="M17"/>
  <c r="N17" s="1"/>
  <c r="P17" s="1"/>
  <c r="M20"/>
  <c r="N20" s="1"/>
  <c r="P20" s="1"/>
  <c r="M23"/>
  <c r="N23" s="1"/>
  <c r="P23" s="1"/>
  <c r="M26"/>
  <c r="N26" s="1"/>
  <c r="P26" s="1"/>
  <c r="M29"/>
  <c r="N29" s="1"/>
  <c r="P29" s="1"/>
  <c r="M32"/>
  <c r="N32" s="1"/>
  <c r="P32" s="1"/>
  <c r="M35"/>
  <c r="N35" s="1"/>
  <c r="P35" s="1"/>
  <c r="E29" i="3"/>
  <c r="F20"/>
  <c r="E28"/>
  <c r="F19"/>
  <c r="AI33" i="5"/>
  <c r="AF33"/>
  <c r="AF52" s="1"/>
  <c r="AE48"/>
  <c r="AF37"/>
  <c r="AI37"/>
  <c r="AF36"/>
  <c r="AI36"/>
  <c r="AF8"/>
  <c r="AF14"/>
  <c r="AF40"/>
  <c r="AI40"/>
  <c r="P6"/>
  <c r="J42"/>
  <c r="H42" s="1"/>
  <c r="B11" i="9"/>
  <c r="B20"/>
  <c r="B30" s="1"/>
  <c r="B40" s="1"/>
  <c r="B50" s="1"/>
  <c r="B60" s="1"/>
  <c r="B70" s="1"/>
  <c r="B80" s="1"/>
  <c r="B90" s="1"/>
  <c r="B100" s="1"/>
  <c r="B110" s="1"/>
  <c r="B120" s="1"/>
  <c r="B130" s="1"/>
  <c r="B140" s="1"/>
  <c r="B150" s="1"/>
  <c r="B160" s="1"/>
  <c r="B170" s="1"/>
  <c r="B180" s="1"/>
  <c r="B190" s="1"/>
  <c r="B200" s="1"/>
  <c r="B210" s="1"/>
  <c r="B220" s="1"/>
  <c r="B230" s="1"/>
  <c r="B240" s="1"/>
  <c r="B250" s="1"/>
  <c r="B260" s="1"/>
  <c r="B270" s="1"/>
  <c r="B280" s="1"/>
  <c r="I9"/>
  <c r="L9"/>
  <c r="H9"/>
  <c r="J9"/>
  <c r="F9"/>
  <c r="G9"/>
  <c r="K9"/>
  <c r="K7"/>
  <c r="L6"/>
  <c r="H8" i="7"/>
  <c r="H7"/>
  <c r="C620"/>
  <c r="G10"/>
  <c r="H10"/>
  <c r="F10"/>
  <c r="J6"/>
  <c r="B19"/>
  <c r="B29" s="1"/>
  <c r="B39" s="1"/>
  <c r="B49" s="1"/>
  <c r="B59" s="1"/>
  <c r="B69" s="1"/>
  <c r="B79" s="1"/>
  <c r="B89" s="1"/>
  <c r="B99" s="1"/>
  <c r="B109" s="1"/>
  <c r="B119" s="1"/>
  <c r="B129" s="1"/>
  <c r="B139" s="1"/>
  <c r="B149" s="1"/>
  <c r="B159" s="1"/>
  <c r="B169" s="1"/>
  <c r="B179" s="1"/>
  <c r="B189" s="1"/>
  <c r="B199" s="1"/>
  <c r="B209" s="1"/>
  <c r="B219" s="1"/>
  <c r="B229" s="1"/>
  <c r="B239" s="1"/>
  <c r="B249" s="1"/>
  <c r="B259" s="1"/>
  <c r="B269" s="1"/>
  <c r="B279" s="1"/>
  <c r="B10"/>
  <c r="E28" i="1"/>
  <c r="B11"/>
  <c r="B20"/>
  <c r="B30" s="1"/>
  <c r="B40" s="1"/>
  <c r="B50" s="1"/>
  <c r="B60" s="1"/>
  <c r="B70" s="1"/>
  <c r="B80" s="1"/>
  <c r="B90" s="1"/>
  <c r="B100" s="1"/>
  <c r="B110" s="1"/>
  <c r="B120" s="1"/>
  <c r="B130" s="1"/>
  <c r="B140" s="1"/>
  <c r="B150" s="1"/>
  <c r="B160" s="1"/>
  <c r="B170" s="1"/>
  <c r="B180" s="1"/>
  <c r="B190" s="1"/>
  <c r="B200" s="1"/>
  <c r="B210" s="1"/>
  <c r="B220" s="1"/>
  <c r="B230" s="1"/>
  <c r="B240" s="1"/>
  <c r="B250" s="1"/>
  <c r="B260" s="1"/>
  <c r="B270" s="1"/>
  <c r="B280" s="1"/>
  <c r="J45" i="5" l="1"/>
  <c r="H45" s="1"/>
  <c r="AE21"/>
  <c r="AJ21" s="1"/>
  <c r="K56" s="1"/>
  <c r="J48"/>
  <c r="H48" s="1"/>
  <c r="AE19"/>
  <c r="J46"/>
  <c r="H46" s="1"/>
  <c r="J43"/>
  <c r="O43" s="1"/>
  <c r="J49"/>
  <c r="H49" s="1"/>
  <c r="J40"/>
  <c r="J41"/>
  <c r="H41" s="1"/>
  <c r="J44"/>
  <c r="G20" i="3"/>
  <c r="G29" s="1"/>
  <c r="F29"/>
  <c r="M20"/>
  <c r="AI42" i="5"/>
  <c r="AF42"/>
  <c r="N36"/>
  <c r="N37" s="1"/>
  <c r="AE20"/>
  <c r="AF19"/>
  <c r="AK48"/>
  <c r="K60" s="1"/>
  <c r="AF48"/>
  <c r="AI38"/>
  <c r="AF38"/>
  <c r="J47"/>
  <c r="L47" s="1"/>
  <c r="AK45"/>
  <c r="K57" s="1"/>
  <c r="AF45"/>
  <c r="E30" i="3"/>
  <c r="F21"/>
  <c r="F22" s="1"/>
  <c r="J22" s="1"/>
  <c r="AF35" i="5"/>
  <c r="AI35"/>
  <c r="F28" i="3"/>
  <c r="M19"/>
  <c r="G19"/>
  <c r="AI39" i="5"/>
  <c r="AE46"/>
  <c r="AF39"/>
  <c r="AE47"/>
  <c r="L45"/>
  <c r="K69" s="1"/>
  <c r="L42"/>
  <c r="K67" s="1"/>
  <c r="H42" i="12" s="1"/>
  <c r="Q42" i="5"/>
  <c r="L46"/>
  <c r="K66" s="1"/>
  <c r="H41" i="12" s="1"/>
  <c r="L7" i="9"/>
  <c r="M6"/>
  <c r="L8"/>
  <c r="B21"/>
  <c r="B31" s="1"/>
  <c r="B41" s="1"/>
  <c r="B51" s="1"/>
  <c r="B61" s="1"/>
  <c r="B71" s="1"/>
  <c r="B81" s="1"/>
  <c r="B91" s="1"/>
  <c r="B101" s="1"/>
  <c r="B111" s="1"/>
  <c r="B121" s="1"/>
  <c r="B131" s="1"/>
  <c r="B141" s="1"/>
  <c r="B151" s="1"/>
  <c r="B161" s="1"/>
  <c r="B171" s="1"/>
  <c r="B181" s="1"/>
  <c r="B191" s="1"/>
  <c r="B201" s="1"/>
  <c r="B211" s="1"/>
  <c r="B221" s="1"/>
  <c r="B231" s="1"/>
  <c r="B241" s="1"/>
  <c r="B251" s="1"/>
  <c r="B261" s="1"/>
  <c r="B271" s="1"/>
  <c r="B281" s="1"/>
  <c r="B12"/>
  <c r="J10"/>
  <c r="F10"/>
  <c r="M10"/>
  <c r="I10"/>
  <c r="K10"/>
  <c r="L10"/>
  <c r="G10"/>
  <c r="H10"/>
  <c r="C621" i="7"/>
  <c r="H58"/>
  <c r="G58"/>
  <c r="B11"/>
  <c r="B20"/>
  <c r="B30" s="1"/>
  <c r="B40" s="1"/>
  <c r="B50" s="1"/>
  <c r="B60" s="1"/>
  <c r="B70" s="1"/>
  <c r="B80" s="1"/>
  <c r="B90" s="1"/>
  <c r="B100" s="1"/>
  <c r="B110" s="1"/>
  <c r="B120" s="1"/>
  <c r="B130" s="1"/>
  <c r="B140" s="1"/>
  <c r="B150" s="1"/>
  <c r="B160" s="1"/>
  <c r="B170" s="1"/>
  <c r="B180" s="1"/>
  <c r="B190" s="1"/>
  <c r="B200" s="1"/>
  <c r="B210" s="1"/>
  <c r="B220" s="1"/>
  <c r="B230" s="1"/>
  <c r="B240" s="1"/>
  <c r="B250" s="1"/>
  <c r="B260" s="1"/>
  <c r="B270" s="1"/>
  <c r="B280" s="1"/>
  <c r="G11"/>
  <c r="H11"/>
  <c r="F11"/>
  <c r="K6"/>
  <c r="E29" i="1"/>
  <c r="B12"/>
  <c r="B21"/>
  <c r="B31" s="1"/>
  <c r="B41" s="1"/>
  <c r="B51" s="1"/>
  <c r="B61" s="1"/>
  <c r="B71" s="1"/>
  <c r="B81" s="1"/>
  <c r="B91" s="1"/>
  <c r="B101" s="1"/>
  <c r="B111" s="1"/>
  <c r="B121" s="1"/>
  <c r="B131" s="1"/>
  <c r="B141" s="1"/>
  <c r="B151" s="1"/>
  <c r="B161" s="1"/>
  <c r="B171" s="1"/>
  <c r="B181" s="1"/>
  <c r="B191" s="1"/>
  <c r="B201" s="1"/>
  <c r="B211" s="1"/>
  <c r="B221" s="1"/>
  <c r="B231" s="1"/>
  <c r="B241" s="1"/>
  <c r="B251" s="1"/>
  <c r="B261" s="1"/>
  <c r="B271" s="1"/>
  <c r="B281" s="1"/>
  <c r="Q46" i="5" l="1"/>
  <c r="Q45"/>
  <c r="Q48"/>
  <c r="L48"/>
  <c r="K61" s="1"/>
  <c r="K62" s="1"/>
  <c r="H19" i="12" s="1"/>
  <c r="C16" i="13" s="1"/>
  <c r="AF21" i="5"/>
  <c r="L41"/>
  <c r="K65" s="1"/>
  <c r="H22" i="12" s="1"/>
  <c r="C19" i="13" s="1"/>
  <c r="AE22" i="5"/>
  <c r="AF22" s="1"/>
  <c r="L43"/>
  <c r="H43"/>
  <c r="AJ19"/>
  <c r="K54" s="1"/>
  <c r="Q43"/>
  <c r="Q49"/>
  <c r="Q41"/>
  <c r="L49"/>
  <c r="K63" s="1"/>
  <c r="H20" i="12" s="1"/>
  <c r="C17" i="13" s="1"/>
  <c r="O44" i="5"/>
  <c r="H44"/>
  <c r="L44"/>
  <c r="K71" s="1"/>
  <c r="H46" i="12" s="1"/>
  <c r="H23"/>
  <c r="C20" i="13" s="1"/>
  <c r="Q44" i="5"/>
  <c r="L40"/>
  <c r="K70" s="1"/>
  <c r="H40"/>
  <c r="Q47"/>
  <c r="H47"/>
  <c r="Q40"/>
  <c r="AK46"/>
  <c r="K58" s="1"/>
  <c r="AF46"/>
  <c r="AK47"/>
  <c r="K59" s="1"/>
  <c r="AF47"/>
  <c r="G28" i="3"/>
  <c r="G31" s="1"/>
  <c r="M21"/>
  <c r="G21"/>
  <c r="G30" s="1"/>
  <c r="F30"/>
  <c r="F31" s="1"/>
  <c r="J31" s="1"/>
  <c r="AJ20" i="5"/>
  <c r="K55" s="1"/>
  <c r="H12" i="12" s="1"/>
  <c r="C9" i="13" s="1"/>
  <c r="AF20" i="5"/>
  <c r="H24" i="12"/>
  <c r="C21" i="13" s="1"/>
  <c r="H36" i="12"/>
  <c r="K68" i="5"/>
  <c r="H25" i="12" s="1"/>
  <c r="C22" i="13" s="1"/>
  <c r="K64" i="5"/>
  <c r="H21" i="12" s="1"/>
  <c r="C18" i="13" s="1"/>
  <c r="H26" i="12"/>
  <c r="C23" i="13" s="1"/>
  <c r="H13" i="12"/>
  <c r="C10" i="13" s="1"/>
  <c r="H31" i="12"/>
  <c r="H32"/>
  <c r="H14"/>
  <c r="C11" i="13" s="1"/>
  <c r="H15" i="12"/>
  <c r="C12" i="13" s="1"/>
  <c r="H33" i="12"/>
  <c r="H37"/>
  <c r="H17"/>
  <c r="C14" i="13" s="1"/>
  <c r="H35" i="12"/>
  <c r="H16"/>
  <c r="C13" i="13" s="1"/>
  <c r="H34" i="12"/>
  <c r="K11" i="9"/>
  <c r="G11"/>
  <c r="J11"/>
  <c r="F11"/>
  <c r="L11"/>
  <c r="M11"/>
  <c r="H11"/>
  <c r="I11"/>
  <c r="B22"/>
  <c r="B32" s="1"/>
  <c r="B42" s="1"/>
  <c r="B52" s="1"/>
  <c r="B62" s="1"/>
  <c r="B72" s="1"/>
  <c r="B82" s="1"/>
  <c r="B92" s="1"/>
  <c r="B102" s="1"/>
  <c r="B112" s="1"/>
  <c r="B122" s="1"/>
  <c r="B132" s="1"/>
  <c r="B142" s="1"/>
  <c r="B152" s="1"/>
  <c r="B162" s="1"/>
  <c r="B172" s="1"/>
  <c r="B182" s="1"/>
  <c r="B192" s="1"/>
  <c r="B202" s="1"/>
  <c r="B212" s="1"/>
  <c r="B222" s="1"/>
  <c r="B232" s="1"/>
  <c r="B242" s="1"/>
  <c r="B252" s="1"/>
  <c r="B262" s="1"/>
  <c r="B272" s="1"/>
  <c r="B282" s="1"/>
  <c r="B13"/>
  <c r="N6"/>
  <c r="M7"/>
  <c r="M8"/>
  <c r="M9"/>
  <c r="C622" i="7"/>
  <c r="G12"/>
  <c r="H12"/>
  <c r="F12"/>
  <c r="I12"/>
  <c r="B12"/>
  <c r="B21"/>
  <c r="B31" s="1"/>
  <c r="B41" s="1"/>
  <c r="B51" s="1"/>
  <c r="B61" s="1"/>
  <c r="B71" s="1"/>
  <c r="B81" s="1"/>
  <c r="B91" s="1"/>
  <c r="B101" s="1"/>
  <c r="B111" s="1"/>
  <c r="B121" s="1"/>
  <c r="B131" s="1"/>
  <c r="B141" s="1"/>
  <c r="B151" s="1"/>
  <c r="B161" s="1"/>
  <c r="B171" s="1"/>
  <c r="B181" s="1"/>
  <c r="B191" s="1"/>
  <c r="B201" s="1"/>
  <c r="B211" s="1"/>
  <c r="B221" s="1"/>
  <c r="B231" s="1"/>
  <c r="B241" s="1"/>
  <c r="B251" s="1"/>
  <c r="B261" s="1"/>
  <c r="B271" s="1"/>
  <c r="B281" s="1"/>
  <c r="L6"/>
  <c r="E30" i="1"/>
  <c r="B13"/>
  <c r="B22"/>
  <c r="B32" s="1"/>
  <c r="B42" s="1"/>
  <c r="B52" s="1"/>
  <c r="B62" s="1"/>
  <c r="B72" s="1"/>
  <c r="B82" s="1"/>
  <c r="B92" s="1"/>
  <c r="B102" s="1"/>
  <c r="B112" s="1"/>
  <c r="B122" s="1"/>
  <c r="B132" s="1"/>
  <c r="B142" s="1"/>
  <c r="B152" s="1"/>
  <c r="B162" s="1"/>
  <c r="B172" s="1"/>
  <c r="B182" s="1"/>
  <c r="B192" s="1"/>
  <c r="B202" s="1"/>
  <c r="B212" s="1"/>
  <c r="B222" s="1"/>
  <c r="B232" s="1"/>
  <c r="B242" s="1"/>
  <c r="B252" s="1"/>
  <c r="B262" s="1"/>
  <c r="B272" s="1"/>
  <c r="B282" s="1"/>
  <c r="H40" i="12" l="1"/>
  <c r="H18"/>
  <c r="C15" i="13" s="1"/>
  <c r="H30" i="12"/>
  <c r="AF23" i="5"/>
  <c r="L51"/>
  <c r="H29" i="12"/>
  <c r="H11"/>
  <c r="C8" i="13" s="1"/>
  <c r="G22" i="3"/>
  <c r="G24" s="1"/>
  <c r="H43" i="12"/>
  <c r="Q51" i="5"/>
  <c r="R50" s="1"/>
  <c r="H28" i="12"/>
  <c r="C25" i="13" s="1"/>
  <c r="H39" i="12"/>
  <c r="H38"/>
  <c r="H27"/>
  <c r="C24" i="13" s="1"/>
  <c r="H45" i="12"/>
  <c r="H44"/>
  <c r="O6" i="9"/>
  <c r="N7"/>
  <c r="N8"/>
  <c r="N9"/>
  <c r="N10"/>
  <c r="B23"/>
  <c r="B33" s="1"/>
  <c r="B43" s="1"/>
  <c r="B53" s="1"/>
  <c r="B63" s="1"/>
  <c r="B73" s="1"/>
  <c r="B83" s="1"/>
  <c r="B93" s="1"/>
  <c r="B103" s="1"/>
  <c r="B113" s="1"/>
  <c r="B123" s="1"/>
  <c r="B133" s="1"/>
  <c r="B143" s="1"/>
  <c r="B153" s="1"/>
  <c r="B163" s="1"/>
  <c r="B173" s="1"/>
  <c r="B183" s="1"/>
  <c r="B193" s="1"/>
  <c r="B203" s="1"/>
  <c r="B213" s="1"/>
  <c r="B223" s="1"/>
  <c r="B233" s="1"/>
  <c r="B243" s="1"/>
  <c r="B253" s="1"/>
  <c r="B263" s="1"/>
  <c r="B273" s="1"/>
  <c r="B283" s="1"/>
  <c r="B14"/>
  <c r="L12"/>
  <c r="H12"/>
  <c r="O12"/>
  <c r="K12"/>
  <c r="G12"/>
  <c r="M12"/>
  <c r="N12"/>
  <c r="F12"/>
  <c r="I12"/>
  <c r="J12"/>
  <c r="N11"/>
  <c r="C623" i="7"/>
  <c r="I58"/>
  <c r="B13"/>
  <c r="B22"/>
  <c r="B32" s="1"/>
  <c r="B42" s="1"/>
  <c r="B52" s="1"/>
  <c r="B62" s="1"/>
  <c r="B72" s="1"/>
  <c r="B82" s="1"/>
  <c r="B92" s="1"/>
  <c r="B102" s="1"/>
  <c r="B112" s="1"/>
  <c r="B122" s="1"/>
  <c r="B132" s="1"/>
  <c r="B142" s="1"/>
  <c r="B152" s="1"/>
  <c r="B162" s="1"/>
  <c r="B172" s="1"/>
  <c r="B182" s="1"/>
  <c r="B192" s="1"/>
  <c r="B202" s="1"/>
  <c r="B212" s="1"/>
  <c r="B222" s="1"/>
  <c r="B232" s="1"/>
  <c r="B242" s="1"/>
  <c r="B252" s="1"/>
  <c r="B262" s="1"/>
  <c r="B272" s="1"/>
  <c r="B282" s="1"/>
  <c r="K13"/>
  <c r="G13"/>
  <c r="F13"/>
  <c r="L13"/>
  <c r="H13"/>
  <c r="I13"/>
  <c r="J13"/>
  <c r="M6"/>
  <c r="E31" i="1"/>
  <c r="B14"/>
  <c r="B23"/>
  <c r="B33" s="1"/>
  <c r="B43" s="1"/>
  <c r="B53" s="1"/>
  <c r="B63" s="1"/>
  <c r="B73" s="1"/>
  <c r="B83" s="1"/>
  <c r="B93" s="1"/>
  <c r="B103" s="1"/>
  <c r="B113" s="1"/>
  <c r="B123" s="1"/>
  <c r="B133" s="1"/>
  <c r="B143" s="1"/>
  <c r="B153" s="1"/>
  <c r="B163" s="1"/>
  <c r="B173" s="1"/>
  <c r="B183" s="1"/>
  <c r="B193" s="1"/>
  <c r="B203" s="1"/>
  <c r="B213" s="1"/>
  <c r="B223" s="1"/>
  <c r="B233" s="1"/>
  <c r="B243" s="1"/>
  <c r="B253" s="1"/>
  <c r="B263" s="1"/>
  <c r="B273" s="1"/>
  <c r="B283" s="1"/>
  <c r="W86" i="11" l="1"/>
  <c r="W123" s="1"/>
  <c r="V86"/>
  <c r="V123" s="1"/>
  <c r="R86"/>
  <c r="R123" s="1"/>
  <c r="P86"/>
  <c r="P123" s="1"/>
  <c r="N86"/>
  <c r="N123" s="1"/>
  <c r="M86"/>
  <c r="M123" s="1"/>
  <c r="L86"/>
  <c r="L123" s="1"/>
  <c r="H86"/>
  <c r="H123" s="1"/>
  <c r="F86"/>
  <c r="F123" s="1"/>
  <c r="U86"/>
  <c r="U123" s="1"/>
  <c r="T86"/>
  <c r="T123" s="1"/>
  <c r="S86"/>
  <c r="S123" s="1"/>
  <c r="G86"/>
  <c r="G123" s="1"/>
  <c r="Q86"/>
  <c r="Q123" s="1"/>
  <c r="K86"/>
  <c r="K123" s="1"/>
  <c r="I86"/>
  <c r="I123" s="1"/>
  <c r="E86"/>
  <c r="E123" s="1"/>
  <c r="Y86"/>
  <c r="Y123" s="1"/>
  <c r="X86"/>
  <c r="X123" s="1"/>
  <c r="O86"/>
  <c r="O123" s="1"/>
  <c r="J86"/>
  <c r="J123" s="1"/>
  <c r="O7" i="9"/>
  <c r="P6"/>
  <c r="P13" s="1"/>
  <c r="O8"/>
  <c r="O9"/>
  <c r="O10"/>
  <c r="O11"/>
  <c r="B15"/>
  <c r="B24"/>
  <c r="B34" s="1"/>
  <c r="B44" s="1"/>
  <c r="B54" s="1"/>
  <c r="B64" s="1"/>
  <c r="B74" s="1"/>
  <c r="B84" s="1"/>
  <c r="B94" s="1"/>
  <c r="B104" s="1"/>
  <c r="B114" s="1"/>
  <c r="B124" s="1"/>
  <c r="B134" s="1"/>
  <c r="B144" s="1"/>
  <c r="B154" s="1"/>
  <c r="B164" s="1"/>
  <c r="B174" s="1"/>
  <c r="B184" s="1"/>
  <c r="B194" s="1"/>
  <c r="B204" s="1"/>
  <c r="B214" s="1"/>
  <c r="B224" s="1"/>
  <c r="B234" s="1"/>
  <c r="B244" s="1"/>
  <c r="B254" s="1"/>
  <c r="B264" s="1"/>
  <c r="B274" s="1"/>
  <c r="B284" s="1"/>
  <c r="M13"/>
  <c r="I13"/>
  <c r="L13"/>
  <c r="H13"/>
  <c r="N13"/>
  <c r="F13"/>
  <c r="O13"/>
  <c r="G13"/>
  <c r="J13"/>
  <c r="K13"/>
  <c r="C624" i="7"/>
  <c r="J58"/>
  <c r="N6"/>
  <c r="B23"/>
  <c r="B33" s="1"/>
  <c r="B43" s="1"/>
  <c r="B53" s="1"/>
  <c r="B63" s="1"/>
  <c r="B73" s="1"/>
  <c r="B83" s="1"/>
  <c r="B93" s="1"/>
  <c r="B103" s="1"/>
  <c r="B113" s="1"/>
  <c r="B123" s="1"/>
  <c r="B133" s="1"/>
  <c r="B143" s="1"/>
  <c r="B153" s="1"/>
  <c r="B163" s="1"/>
  <c r="B173" s="1"/>
  <c r="B183" s="1"/>
  <c r="B193" s="1"/>
  <c r="B203" s="1"/>
  <c r="B213" s="1"/>
  <c r="B223" s="1"/>
  <c r="B233" s="1"/>
  <c r="B243" s="1"/>
  <c r="B253" s="1"/>
  <c r="B263" s="1"/>
  <c r="B273" s="1"/>
  <c r="B283" s="1"/>
  <c r="B14"/>
  <c r="M13"/>
  <c r="K14"/>
  <c r="G14"/>
  <c r="J14"/>
  <c r="L14"/>
  <c r="H14"/>
  <c r="N14"/>
  <c r="M14"/>
  <c r="I14"/>
  <c r="F14"/>
  <c r="E32" i="1"/>
  <c r="B15"/>
  <c r="B24"/>
  <c r="B34" s="1"/>
  <c r="B44" s="1"/>
  <c r="B54" s="1"/>
  <c r="B64" s="1"/>
  <c r="B74" s="1"/>
  <c r="B84" s="1"/>
  <c r="B94" s="1"/>
  <c r="B104" s="1"/>
  <c r="B114" s="1"/>
  <c r="B124" s="1"/>
  <c r="B134" s="1"/>
  <c r="B144" s="1"/>
  <c r="B154" s="1"/>
  <c r="B164" s="1"/>
  <c r="B174" s="1"/>
  <c r="B184" s="1"/>
  <c r="B194" s="1"/>
  <c r="B204" s="1"/>
  <c r="B214" s="1"/>
  <c r="B224" s="1"/>
  <c r="B234" s="1"/>
  <c r="B244" s="1"/>
  <c r="B254" s="1"/>
  <c r="B264" s="1"/>
  <c r="B274" s="1"/>
  <c r="B284" s="1"/>
  <c r="B25" i="9" l="1"/>
  <c r="B35" s="1"/>
  <c r="B45" s="1"/>
  <c r="B55" s="1"/>
  <c r="B65" s="1"/>
  <c r="B75" s="1"/>
  <c r="B85" s="1"/>
  <c r="B95" s="1"/>
  <c r="B105" s="1"/>
  <c r="B115" s="1"/>
  <c r="B125" s="1"/>
  <c r="B135" s="1"/>
  <c r="B145" s="1"/>
  <c r="B155" s="1"/>
  <c r="B165" s="1"/>
  <c r="B175" s="1"/>
  <c r="B185" s="1"/>
  <c r="B195" s="1"/>
  <c r="B205" s="1"/>
  <c r="B215" s="1"/>
  <c r="B225" s="1"/>
  <c r="B235" s="1"/>
  <c r="B245" s="1"/>
  <c r="B255" s="1"/>
  <c r="B265" s="1"/>
  <c r="B275" s="1"/>
  <c r="B285" s="1"/>
  <c r="B16"/>
  <c r="B26" s="1"/>
  <c r="B36" s="1"/>
  <c r="B46" s="1"/>
  <c r="B56" s="1"/>
  <c r="B66" s="1"/>
  <c r="B76" s="1"/>
  <c r="B86" s="1"/>
  <c r="B96" s="1"/>
  <c r="B106" s="1"/>
  <c r="B116" s="1"/>
  <c r="B126" s="1"/>
  <c r="B136" s="1"/>
  <c r="B146" s="1"/>
  <c r="B156" s="1"/>
  <c r="B166" s="1"/>
  <c r="B176" s="1"/>
  <c r="B186" s="1"/>
  <c r="B196" s="1"/>
  <c r="B206" s="1"/>
  <c r="B216" s="1"/>
  <c r="B226" s="1"/>
  <c r="B236" s="1"/>
  <c r="B246" s="1"/>
  <c r="B256" s="1"/>
  <c r="B266" s="1"/>
  <c r="B276" s="1"/>
  <c r="B286" s="1"/>
  <c r="Q6"/>
  <c r="P7"/>
  <c r="P8"/>
  <c r="P9"/>
  <c r="P10"/>
  <c r="P11"/>
  <c r="P12"/>
  <c r="N14"/>
  <c r="J14"/>
  <c r="F14"/>
  <c r="Q14"/>
  <c r="M14"/>
  <c r="I14"/>
  <c r="O14"/>
  <c r="G14"/>
  <c r="P14"/>
  <c r="H14"/>
  <c r="K14"/>
  <c r="L14"/>
  <c r="C625" i="7"/>
  <c r="K58"/>
  <c r="B24"/>
  <c r="B34" s="1"/>
  <c r="B44" s="1"/>
  <c r="B54" s="1"/>
  <c r="B64" s="1"/>
  <c r="B74" s="1"/>
  <c r="B84" s="1"/>
  <c r="B94" s="1"/>
  <c r="B104" s="1"/>
  <c r="B114" s="1"/>
  <c r="B124" s="1"/>
  <c r="B134" s="1"/>
  <c r="B144" s="1"/>
  <c r="B154" s="1"/>
  <c r="B164" s="1"/>
  <c r="B174" s="1"/>
  <c r="B184" s="1"/>
  <c r="B194" s="1"/>
  <c r="B204" s="1"/>
  <c r="B214" s="1"/>
  <c r="B224" s="1"/>
  <c r="B234" s="1"/>
  <c r="B244" s="1"/>
  <c r="B254" s="1"/>
  <c r="B264" s="1"/>
  <c r="B274" s="1"/>
  <c r="B284" s="1"/>
  <c r="B15"/>
  <c r="O6"/>
  <c r="P6" s="1"/>
  <c r="N13"/>
  <c r="N15"/>
  <c r="J15"/>
  <c r="F15"/>
  <c r="O15"/>
  <c r="K15"/>
  <c r="G15"/>
  <c r="I15"/>
  <c r="L15"/>
  <c r="H15"/>
  <c r="M15"/>
  <c r="E33" i="1"/>
  <c r="B16"/>
  <c r="B26" s="1"/>
  <c r="B36" s="1"/>
  <c r="B46" s="1"/>
  <c r="B56" s="1"/>
  <c r="B66" s="1"/>
  <c r="B76" s="1"/>
  <c r="B86" s="1"/>
  <c r="B96" s="1"/>
  <c r="B106" s="1"/>
  <c r="B116" s="1"/>
  <c r="B126" s="1"/>
  <c r="B136" s="1"/>
  <c r="B146" s="1"/>
  <c r="B156" s="1"/>
  <c r="B166" s="1"/>
  <c r="B176" s="1"/>
  <c r="B186" s="1"/>
  <c r="B196" s="1"/>
  <c r="B206" s="1"/>
  <c r="B216" s="1"/>
  <c r="B226" s="1"/>
  <c r="B236" s="1"/>
  <c r="B246" s="1"/>
  <c r="B256" s="1"/>
  <c r="B266" s="1"/>
  <c r="B276" s="1"/>
  <c r="B286" s="1"/>
  <c r="B25"/>
  <c r="B35" s="1"/>
  <c r="B45" s="1"/>
  <c r="B55" s="1"/>
  <c r="B65" s="1"/>
  <c r="B75" s="1"/>
  <c r="B85" s="1"/>
  <c r="B95" s="1"/>
  <c r="B105" s="1"/>
  <c r="B115" s="1"/>
  <c r="B125" s="1"/>
  <c r="B135" s="1"/>
  <c r="B145" s="1"/>
  <c r="B155" s="1"/>
  <c r="B165" s="1"/>
  <c r="B175" s="1"/>
  <c r="B185" s="1"/>
  <c r="B195" s="1"/>
  <c r="B205" s="1"/>
  <c r="B215" s="1"/>
  <c r="B225" s="1"/>
  <c r="B235" s="1"/>
  <c r="B245" s="1"/>
  <c r="B255" s="1"/>
  <c r="B265" s="1"/>
  <c r="B275" s="1"/>
  <c r="B285" s="1"/>
  <c r="Q7" i="9" l="1"/>
  <c r="Q8"/>
  <c r="Q9"/>
  <c r="Q10"/>
  <c r="Q11"/>
  <c r="Q12"/>
  <c r="Q13"/>
  <c r="O15"/>
  <c r="K15"/>
  <c r="G15"/>
  <c r="N15"/>
  <c r="J15"/>
  <c r="F15"/>
  <c r="P15"/>
  <c r="H15"/>
  <c r="Q15"/>
  <c r="I15"/>
  <c r="L15"/>
  <c r="M15"/>
  <c r="Q6" i="7"/>
  <c r="P13"/>
  <c r="P15"/>
  <c r="P17"/>
  <c r="P14"/>
  <c r="P16"/>
  <c r="P18"/>
  <c r="C626"/>
  <c r="N16"/>
  <c r="J16"/>
  <c r="F16"/>
  <c r="M16"/>
  <c r="O16"/>
  <c r="K16"/>
  <c r="G16"/>
  <c r="L16"/>
  <c r="H16"/>
  <c r="I16"/>
  <c r="B16"/>
  <c r="B26" s="1"/>
  <c r="B36" s="1"/>
  <c r="B46" s="1"/>
  <c r="B56" s="1"/>
  <c r="B66" s="1"/>
  <c r="B76" s="1"/>
  <c r="B86" s="1"/>
  <c r="B96" s="1"/>
  <c r="B106" s="1"/>
  <c r="B116" s="1"/>
  <c r="B126" s="1"/>
  <c r="B136" s="1"/>
  <c r="B146" s="1"/>
  <c r="B156" s="1"/>
  <c r="B166" s="1"/>
  <c r="B176" s="1"/>
  <c r="B186" s="1"/>
  <c r="B196" s="1"/>
  <c r="B206" s="1"/>
  <c r="B216" s="1"/>
  <c r="B226" s="1"/>
  <c r="B236" s="1"/>
  <c r="B246" s="1"/>
  <c r="B256" s="1"/>
  <c r="B266" s="1"/>
  <c r="B276" s="1"/>
  <c r="B286" s="1"/>
  <c r="B25"/>
  <c r="B35" s="1"/>
  <c r="B45" s="1"/>
  <c r="B55" s="1"/>
  <c r="B65" s="1"/>
  <c r="B75" s="1"/>
  <c r="B85" s="1"/>
  <c r="B95" s="1"/>
  <c r="B105" s="1"/>
  <c r="B115" s="1"/>
  <c r="B125" s="1"/>
  <c r="B135" s="1"/>
  <c r="B145" s="1"/>
  <c r="B155" s="1"/>
  <c r="B165" s="1"/>
  <c r="B175" s="1"/>
  <c r="B185" s="1"/>
  <c r="B195" s="1"/>
  <c r="B205" s="1"/>
  <c r="B215" s="1"/>
  <c r="B225" s="1"/>
  <c r="B235" s="1"/>
  <c r="B245" s="1"/>
  <c r="B255" s="1"/>
  <c r="B265" s="1"/>
  <c r="B275" s="1"/>
  <c r="B285" s="1"/>
  <c r="O13"/>
  <c r="O14"/>
  <c r="E34" i="1"/>
  <c r="P16" i="9" l="1"/>
  <c r="L16"/>
  <c r="H16"/>
  <c r="O16"/>
  <c r="K16"/>
  <c r="G16"/>
  <c r="Q16"/>
  <c r="I16"/>
  <c r="J16"/>
  <c r="N16"/>
  <c r="F16"/>
  <c r="M16"/>
  <c r="Q14" i="7"/>
  <c r="Q18"/>
  <c r="Q16"/>
  <c r="Q17"/>
  <c r="Q13"/>
  <c r="Q15"/>
  <c r="C627"/>
  <c r="C628" s="1"/>
  <c r="C629" s="1"/>
  <c r="C630" s="1"/>
  <c r="C631" s="1"/>
  <c r="C632" s="1"/>
  <c r="C633" s="1"/>
  <c r="C634" s="1"/>
  <c r="C635" s="1"/>
  <c r="C636" s="1"/>
  <c r="C637" s="1"/>
  <c r="C638" s="1"/>
  <c r="C639" s="1"/>
  <c r="C640" s="1"/>
  <c r="C641" s="1"/>
  <c r="C642" s="1"/>
  <c r="C643" s="1"/>
  <c r="C644" s="1"/>
  <c r="C645" s="1"/>
  <c r="C646" s="1"/>
  <c r="C647" s="1"/>
  <c r="C648" s="1"/>
  <c r="C649" s="1"/>
  <c r="C650" s="1"/>
  <c r="C651" s="1"/>
  <c r="C652" s="1"/>
  <c r="C653" s="1"/>
  <c r="C654" s="1"/>
  <c r="C655" s="1"/>
  <c r="C656" s="1"/>
  <c r="C657" s="1"/>
  <c r="C658" s="1"/>
  <c r="C659" s="1"/>
  <c r="C660" s="1"/>
  <c r="C661" s="1"/>
  <c r="C662" s="1"/>
  <c r="C663" s="1"/>
  <c r="C664" s="1"/>
  <c r="C665" s="1"/>
  <c r="C666" s="1"/>
  <c r="C667" s="1"/>
  <c r="C668" s="1"/>
  <c r="C669" s="1"/>
  <c r="C670" s="1"/>
  <c r="C671" s="1"/>
  <c r="C672" s="1"/>
  <c r="C673" s="1"/>
  <c r="C674" s="1"/>
  <c r="C675" s="1"/>
  <c r="C676" s="1"/>
  <c r="C677" s="1"/>
  <c r="C678" s="1"/>
  <c r="C679" s="1"/>
  <c r="C680" s="1"/>
  <c r="C681" s="1"/>
  <c r="C682" s="1"/>
  <c r="C683" s="1"/>
  <c r="C684" s="1"/>
  <c r="C685" s="1"/>
  <c r="C686" s="1"/>
  <c r="C687" s="1"/>
  <c r="C688" s="1"/>
  <c r="C689" s="1"/>
  <c r="C690" s="1"/>
  <c r="C691" s="1"/>
  <c r="C692" s="1"/>
  <c r="C693" s="1"/>
  <c r="C694" s="1"/>
  <c r="C695" s="1"/>
  <c r="C696" s="1"/>
  <c r="C697" s="1"/>
  <c r="C698" s="1"/>
  <c r="C699" s="1"/>
  <c r="C700" s="1"/>
  <c r="C701" s="1"/>
  <c r="C702" s="1"/>
  <c r="C703" s="1"/>
  <c r="C704" s="1"/>
  <c r="C705" s="1"/>
  <c r="C706" s="1"/>
  <c r="C707" s="1"/>
  <c r="C708" s="1"/>
  <c r="C709" s="1"/>
  <c r="C710" s="1"/>
  <c r="C711" s="1"/>
  <c r="C712" s="1"/>
  <c r="C713" s="1"/>
  <c r="C714" s="1"/>
  <c r="C715" s="1"/>
  <c r="C716" s="1"/>
  <c r="C717" s="1"/>
  <c r="C718" s="1"/>
  <c r="C719" s="1"/>
  <c r="C720" s="1"/>
  <c r="C721" s="1"/>
  <c r="C722" s="1"/>
  <c r="C723" s="1"/>
  <c r="C724" s="1"/>
  <c r="C725" s="1"/>
  <c r="C726" s="1"/>
  <c r="C727" s="1"/>
  <c r="C728" s="1"/>
  <c r="C729" s="1"/>
  <c r="C730" s="1"/>
  <c r="C731" s="1"/>
  <c r="C732" s="1"/>
  <c r="C733" s="1"/>
  <c r="C734" s="1"/>
  <c r="C735" s="1"/>
  <c r="C736" s="1"/>
  <c r="C737" s="1"/>
  <c r="C738" s="1"/>
  <c r="F63" s="1"/>
  <c r="M17"/>
  <c r="I17"/>
  <c r="L17"/>
  <c r="H17"/>
  <c r="N17"/>
  <c r="J17"/>
  <c r="F17"/>
  <c r="O17"/>
  <c r="K17"/>
  <c r="G17"/>
  <c r="E35" i="1"/>
  <c r="P17" i="9" l="1"/>
  <c r="L17"/>
  <c r="H17"/>
  <c r="O17"/>
  <c r="K17"/>
  <c r="G17"/>
  <c r="N17"/>
  <c r="F17"/>
  <c r="Q17"/>
  <c r="I17"/>
  <c r="M17"/>
  <c r="J17"/>
  <c r="N64" i="7"/>
  <c r="G62"/>
  <c r="K61"/>
  <c r="N66"/>
  <c r="J60"/>
  <c r="N62"/>
  <c r="L66"/>
  <c r="O63"/>
  <c r="H65"/>
  <c r="M66"/>
  <c r="H62"/>
  <c r="F61"/>
  <c r="G65"/>
  <c r="J61"/>
  <c r="I61"/>
  <c r="L58"/>
  <c r="I66"/>
  <c r="L63"/>
  <c r="G66"/>
  <c r="L60"/>
  <c r="M62"/>
  <c r="M58"/>
  <c r="O62"/>
  <c r="F65"/>
  <c r="H61"/>
  <c r="O59"/>
  <c r="O65"/>
  <c r="H60"/>
  <c r="I67"/>
  <c r="F62"/>
  <c r="G63"/>
  <c r="I63"/>
  <c r="H63"/>
  <c r="I65"/>
  <c r="L64"/>
  <c r="N65"/>
  <c r="J64"/>
  <c r="N63"/>
  <c r="L65"/>
  <c r="K66"/>
  <c r="H67"/>
  <c r="O58"/>
  <c r="I59"/>
  <c r="J67"/>
  <c r="F60"/>
  <c r="N67"/>
  <c r="J59"/>
  <c r="L62"/>
  <c r="F66"/>
  <c r="F59"/>
  <c r="N59"/>
  <c r="O60"/>
  <c r="G64"/>
  <c r="O67"/>
  <c r="G67"/>
  <c r="M65"/>
  <c r="L67"/>
  <c r="I62"/>
  <c r="N61"/>
  <c r="K60"/>
  <c r="M59"/>
  <c r="L61"/>
  <c r="O66"/>
  <c r="L59"/>
  <c r="I64"/>
  <c r="K65"/>
  <c r="K64"/>
  <c r="H66"/>
  <c r="M64"/>
  <c r="J62"/>
  <c r="F67"/>
  <c r="M63"/>
  <c r="H59"/>
  <c r="N60"/>
  <c r="G60"/>
  <c r="J63"/>
  <c r="M67"/>
  <c r="M61"/>
  <c r="H64"/>
  <c r="G59"/>
  <c r="K62"/>
  <c r="F64"/>
  <c r="G61"/>
  <c r="J66"/>
  <c r="J65"/>
  <c r="O64"/>
  <c r="I60"/>
  <c r="M60"/>
  <c r="K67"/>
  <c r="O61"/>
  <c r="K63"/>
  <c r="K59"/>
  <c r="N58"/>
  <c r="L18"/>
  <c r="H18"/>
  <c r="G18"/>
  <c r="M18"/>
  <c r="I18"/>
  <c r="O18"/>
  <c r="N18"/>
  <c r="J18"/>
  <c r="F18"/>
  <c r="K18"/>
  <c r="E36" i="1"/>
  <c r="P18" i="9" l="1"/>
  <c r="L18"/>
  <c r="H18"/>
  <c r="O18"/>
  <c r="K18"/>
  <c r="G18"/>
  <c r="N18"/>
  <c r="F18"/>
  <c r="Q18"/>
  <c r="I18"/>
  <c r="J18"/>
  <c r="M18"/>
  <c r="O19" i="7"/>
  <c r="K19"/>
  <c r="G19"/>
  <c r="J19"/>
  <c r="L19"/>
  <c r="H19"/>
  <c r="N19"/>
  <c r="M19"/>
  <c r="I19"/>
  <c r="F19"/>
  <c r="E37" i="1"/>
  <c r="P19" i="9" l="1"/>
  <c r="L19"/>
  <c r="H19"/>
  <c r="O19"/>
  <c r="K19"/>
  <c r="G19"/>
  <c r="N19"/>
  <c r="F19"/>
  <c r="Q19"/>
  <c r="I19"/>
  <c r="J19"/>
  <c r="M19"/>
  <c r="N20" i="7"/>
  <c r="J20"/>
  <c r="F20"/>
  <c r="M20"/>
  <c r="O20"/>
  <c r="K20"/>
  <c r="G20"/>
  <c r="I20"/>
  <c r="L20"/>
  <c r="H20"/>
  <c r="E38" i="1"/>
  <c r="P20" i="9" l="1"/>
  <c r="L20"/>
  <c r="H20"/>
  <c r="O20"/>
  <c r="K20"/>
  <c r="G20"/>
  <c r="N20"/>
  <c r="F20"/>
  <c r="Q20"/>
  <c r="I20"/>
  <c r="J20"/>
  <c r="M20"/>
  <c r="M21" i="7"/>
  <c r="I21"/>
  <c r="L21"/>
  <c r="N21"/>
  <c r="J21"/>
  <c r="F21"/>
  <c r="H21"/>
  <c r="O21"/>
  <c r="K21"/>
  <c r="G21"/>
  <c r="E39" i="1"/>
  <c r="P21" i="9" l="1"/>
  <c r="L21"/>
  <c r="H21"/>
  <c r="O21"/>
  <c r="K21"/>
  <c r="G21"/>
  <c r="N21"/>
  <c r="F21"/>
  <c r="Q21"/>
  <c r="I21"/>
  <c r="M21"/>
  <c r="J21"/>
  <c r="L22" i="7"/>
  <c r="H22"/>
  <c r="K22"/>
  <c r="M22"/>
  <c r="I22"/>
  <c r="O22"/>
  <c r="G22"/>
  <c r="N22"/>
  <c r="J22"/>
  <c r="F22"/>
  <c r="E40" i="1"/>
  <c r="P22" i="9" l="1"/>
  <c r="L22"/>
  <c r="H22"/>
  <c r="O22"/>
  <c r="K22"/>
  <c r="G22"/>
  <c r="N22"/>
  <c r="F22"/>
  <c r="Q22"/>
  <c r="J22"/>
  <c r="M22"/>
  <c r="I22"/>
  <c r="O23" i="7"/>
  <c r="K23"/>
  <c r="G23"/>
  <c r="J23"/>
  <c r="F23"/>
  <c r="L23"/>
  <c r="H23"/>
  <c r="N23"/>
  <c r="M23"/>
  <c r="I23"/>
  <c r="E41" i="1"/>
  <c r="P23" i="9" l="1"/>
  <c r="L23"/>
  <c r="H23"/>
  <c r="O23"/>
  <c r="K23"/>
  <c r="G23"/>
  <c r="N23"/>
  <c r="F23"/>
  <c r="Q23"/>
  <c r="I23"/>
  <c r="J23"/>
  <c r="M23"/>
  <c r="N24" i="7"/>
  <c r="J24"/>
  <c r="F24"/>
  <c r="M24"/>
  <c r="O24"/>
  <c r="K24"/>
  <c r="G24"/>
  <c r="I24"/>
  <c r="L24"/>
  <c r="H24"/>
  <c r="E42" i="1"/>
  <c r="P24" i="9" l="1"/>
  <c r="L24"/>
  <c r="H24"/>
  <c r="O24"/>
  <c r="K24"/>
  <c r="G24"/>
  <c r="N24"/>
  <c r="F24"/>
  <c r="Q24"/>
  <c r="I24"/>
  <c r="M24"/>
  <c r="J24"/>
  <c r="M25" i="7"/>
  <c r="I25"/>
  <c r="L25"/>
  <c r="N25"/>
  <c r="J25"/>
  <c r="F25"/>
  <c r="H25"/>
  <c r="O25"/>
  <c r="K25"/>
  <c r="G25"/>
  <c r="E43" i="1"/>
  <c r="P25" i="9" l="1"/>
  <c r="L25"/>
  <c r="H25"/>
  <c r="O25"/>
  <c r="K25"/>
  <c r="G25"/>
  <c r="N25"/>
  <c r="F25"/>
  <c r="Q25"/>
  <c r="I25"/>
  <c r="M25"/>
  <c r="J25"/>
  <c r="L26" i="7"/>
  <c r="H26"/>
  <c r="O26"/>
  <c r="G26"/>
  <c r="M26"/>
  <c r="I26"/>
  <c r="K26"/>
  <c r="N26"/>
  <c r="J26"/>
  <c r="F26"/>
  <c r="E44" i="1"/>
  <c r="P26" i="9" l="1"/>
  <c r="L26"/>
  <c r="H26"/>
  <c r="O26"/>
  <c r="K26"/>
  <c r="G26"/>
  <c r="N26"/>
  <c r="F26"/>
  <c r="Q26"/>
  <c r="I26"/>
  <c r="M26"/>
  <c r="J26"/>
  <c r="O27" i="7"/>
  <c r="K27"/>
  <c r="G27"/>
  <c r="F27"/>
  <c r="L27"/>
  <c r="H27"/>
  <c r="J27"/>
  <c r="M27"/>
  <c r="I27"/>
  <c r="N27"/>
  <c r="E45" i="1"/>
  <c r="P27" i="9" l="1"/>
  <c r="L27"/>
  <c r="H27"/>
  <c r="O27"/>
  <c r="K27"/>
  <c r="G27"/>
  <c r="N27"/>
  <c r="F27"/>
  <c r="Q27"/>
  <c r="I27"/>
  <c r="M27"/>
  <c r="J27"/>
  <c r="N28" i="7"/>
  <c r="J28"/>
  <c r="F28"/>
  <c r="O28"/>
  <c r="K28"/>
  <c r="G28"/>
  <c r="M28"/>
  <c r="L28"/>
  <c r="H28"/>
  <c r="I28"/>
  <c r="E46" i="1"/>
  <c r="P28" i="9" l="1"/>
  <c r="L28"/>
  <c r="H28"/>
  <c r="O28"/>
  <c r="K28"/>
  <c r="G28"/>
  <c r="N28"/>
  <c r="Q28"/>
  <c r="I28"/>
  <c r="M28"/>
  <c r="F28"/>
  <c r="J28"/>
  <c r="M29" i="7"/>
  <c r="I29"/>
  <c r="N29"/>
  <c r="J29"/>
  <c r="F29"/>
  <c r="H29"/>
  <c r="O29"/>
  <c r="K29"/>
  <c r="G29"/>
  <c r="L29"/>
  <c r="E47" i="1"/>
  <c r="P29" i="9" l="1"/>
  <c r="L29"/>
  <c r="H29"/>
  <c r="O29"/>
  <c r="K29"/>
  <c r="G29"/>
  <c r="N29"/>
  <c r="F29"/>
  <c r="Q29"/>
  <c r="I29"/>
  <c r="J29"/>
  <c r="M29"/>
  <c r="L30" i="7"/>
  <c r="H30"/>
  <c r="M30"/>
  <c r="I30"/>
  <c r="K30"/>
  <c r="G30"/>
  <c r="N30"/>
  <c r="J30"/>
  <c r="F30"/>
  <c r="O30"/>
  <c r="E48" i="1"/>
  <c r="P30" i="9" l="1"/>
  <c r="L30"/>
  <c r="H30"/>
  <c r="O30"/>
  <c r="K30"/>
  <c r="G30"/>
  <c r="N30"/>
  <c r="F30"/>
  <c r="Q30"/>
  <c r="I30"/>
  <c r="J30"/>
  <c r="M30"/>
  <c r="O31" i="7"/>
  <c r="K31"/>
  <c r="G31"/>
  <c r="N31"/>
  <c r="L31"/>
  <c r="H31"/>
  <c r="F31"/>
  <c r="M31"/>
  <c r="I31"/>
  <c r="J31"/>
  <c r="E49" i="1"/>
  <c r="P31" i="9" l="1"/>
  <c r="L31"/>
  <c r="H31"/>
  <c r="O31"/>
  <c r="K31"/>
  <c r="G31"/>
  <c r="N31"/>
  <c r="F31"/>
  <c r="Q31"/>
  <c r="I31"/>
  <c r="J31"/>
  <c r="M31"/>
  <c r="N32" i="7"/>
  <c r="J32"/>
  <c r="F32"/>
  <c r="I32"/>
  <c r="O32"/>
  <c r="K32"/>
  <c r="G32"/>
  <c r="L32"/>
  <c r="H32"/>
  <c r="M32"/>
  <c r="E50" i="1"/>
  <c r="P32" i="9" l="1"/>
  <c r="L32"/>
  <c r="H32"/>
  <c r="O32"/>
  <c r="K32"/>
  <c r="G32"/>
  <c r="N32"/>
  <c r="F32"/>
  <c r="Q32"/>
  <c r="I32"/>
  <c r="J32"/>
  <c r="M32"/>
  <c r="M33" i="7"/>
  <c r="I33"/>
  <c r="H33"/>
  <c r="N33"/>
  <c r="J33"/>
  <c r="F33"/>
  <c r="O33"/>
  <c r="K33"/>
  <c r="G33"/>
  <c r="L33"/>
  <c r="E51" i="1"/>
  <c r="P33" i="9" l="1"/>
  <c r="L33"/>
  <c r="H33"/>
  <c r="O33"/>
  <c r="K33"/>
  <c r="G33"/>
  <c r="N33"/>
  <c r="F33"/>
  <c r="Q33"/>
  <c r="I33"/>
  <c r="J33"/>
  <c r="M33"/>
  <c r="L34" i="7"/>
  <c r="H34"/>
  <c r="K34"/>
  <c r="M34"/>
  <c r="I34"/>
  <c r="N34"/>
  <c r="J34"/>
  <c r="F34"/>
  <c r="O34"/>
  <c r="G34"/>
  <c r="E52" i="1"/>
  <c r="P34" i="9" l="1"/>
  <c r="L34"/>
  <c r="H34"/>
  <c r="O34"/>
  <c r="K34"/>
  <c r="G34"/>
  <c r="N34"/>
  <c r="F34"/>
  <c r="Q34"/>
  <c r="I34"/>
  <c r="J34"/>
  <c r="M34"/>
  <c r="O35" i="7"/>
  <c r="K35"/>
  <c r="G35"/>
  <c r="F35"/>
  <c r="L35"/>
  <c r="H35"/>
  <c r="J35"/>
  <c r="M35"/>
  <c r="I35"/>
  <c r="N35"/>
  <c r="E53" i="1"/>
  <c r="P35" i="9" l="1"/>
  <c r="L35"/>
  <c r="H35"/>
  <c r="O35"/>
  <c r="K35"/>
  <c r="G35"/>
  <c r="N35"/>
  <c r="F35"/>
  <c r="Q35"/>
  <c r="I35"/>
  <c r="J35"/>
  <c r="M35"/>
  <c r="N36" i="7"/>
  <c r="J36"/>
  <c r="F36"/>
  <c r="M36"/>
  <c r="O36"/>
  <c r="K36"/>
  <c r="G36"/>
  <c r="L36"/>
  <c r="H36"/>
  <c r="I36"/>
  <c r="E54" i="1"/>
  <c r="P36" i="9" l="1"/>
  <c r="L36"/>
  <c r="H36"/>
  <c r="O36"/>
  <c r="K36"/>
  <c r="G36"/>
  <c r="N36"/>
  <c r="F36"/>
  <c r="Q36"/>
  <c r="I36"/>
  <c r="J36"/>
  <c r="M36"/>
  <c r="M37" i="7"/>
  <c r="I37"/>
  <c r="H37"/>
  <c r="N37"/>
  <c r="J37"/>
  <c r="F37"/>
  <c r="L37"/>
  <c r="O37"/>
  <c r="K37"/>
  <c r="G37"/>
  <c r="E55" i="1"/>
  <c r="P37" i="9" l="1"/>
  <c r="L37"/>
  <c r="H37"/>
  <c r="O37"/>
  <c r="K37"/>
  <c r="G37"/>
  <c r="N37"/>
  <c r="F37"/>
  <c r="Q37"/>
  <c r="I37"/>
  <c r="J37"/>
  <c r="M37"/>
  <c r="L38" i="7"/>
  <c r="H38"/>
  <c r="O38"/>
  <c r="M38"/>
  <c r="I38"/>
  <c r="K38"/>
  <c r="N38"/>
  <c r="J38"/>
  <c r="F38"/>
  <c r="G38"/>
  <c r="E56" i="1"/>
  <c r="P38" i="9" l="1"/>
  <c r="L38"/>
  <c r="H38"/>
  <c r="O38"/>
  <c r="K38"/>
  <c r="G38"/>
  <c r="N38"/>
  <c r="F38"/>
  <c r="Q38"/>
  <c r="I38"/>
  <c r="M38"/>
  <c r="J38"/>
  <c r="L39" i="7"/>
  <c r="H39"/>
  <c r="M39"/>
  <c r="G39"/>
  <c r="K39"/>
  <c r="N39"/>
  <c r="I39"/>
  <c r="F39"/>
  <c r="O39"/>
  <c r="J39"/>
  <c r="E57" i="1"/>
  <c r="P39" i="9" l="1"/>
  <c r="L39"/>
  <c r="H39"/>
  <c r="O39"/>
  <c r="K39"/>
  <c r="G39"/>
  <c r="N39"/>
  <c r="F39"/>
  <c r="Q39"/>
  <c r="I39"/>
  <c r="M39"/>
  <c r="J39"/>
  <c r="O40" i="7"/>
  <c r="K40"/>
  <c r="G40"/>
  <c r="L40"/>
  <c r="F40"/>
  <c r="J40"/>
  <c r="M40"/>
  <c r="H40"/>
  <c r="N40"/>
  <c r="I40"/>
  <c r="E58" i="1"/>
  <c r="P40" i="9" l="1"/>
  <c r="L40"/>
  <c r="H40"/>
  <c r="O40"/>
  <c r="K40"/>
  <c r="G40"/>
  <c r="N40"/>
  <c r="F40"/>
  <c r="Q40"/>
  <c r="I40"/>
  <c r="M40"/>
  <c r="J40"/>
  <c r="N41" i="7"/>
  <c r="J41"/>
  <c r="F41"/>
  <c r="K41"/>
  <c r="I41"/>
  <c r="L41"/>
  <c r="G41"/>
  <c r="M41"/>
  <c r="H41"/>
  <c r="O41"/>
  <c r="E59" i="1"/>
  <c r="P41" i="9" l="1"/>
  <c r="L41"/>
  <c r="H41"/>
  <c r="O41"/>
  <c r="K41"/>
  <c r="G41"/>
  <c r="N41"/>
  <c r="F41"/>
  <c r="Q41"/>
  <c r="I41"/>
  <c r="J41"/>
  <c r="M41"/>
  <c r="M42" i="7"/>
  <c r="I42"/>
  <c r="O42"/>
  <c r="J42"/>
  <c r="N42"/>
  <c r="K42"/>
  <c r="F42"/>
  <c r="L42"/>
  <c r="G42"/>
  <c r="H42"/>
  <c r="E60" i="1"/>
  <c r="P42" i="9" l="1"/>
  <c r="L42"/>
  <c r="H42"/>
  <c r="O42"/>
  <c r="K42"/>
  <c r="G42"/>
  <c r="N42"/>
  <c r="F42"/>
  <c r="Q42"/>
  <c r="I42"/>
  <c r="J42"/>
  <c r="M42"/>
  <c r="L43" i="7"/>
  <c r="H43"/>
  <c r="N43"/>
  <c r="I43"/>
  <c r="O43"/>
  <c r="J43"/>
  <c r="M43"/>
  <c r="K43"/>
  <c r="F43"/>
  <c r="G43"/>
  <c r="E61" i="1"/>
  <c r="P43" i="9" l="1"/>
  <c r="L43"/>
  <c r="H43"/>
  <c r="O43"/>
  <c r="K43"/>
  <c r="G43"/>
  <c r="N43"/>
  <c r="F43"/>
  <c r="Q43"/>
  <c r="I43"/>
  <c r="J43"/>
  <c r="M43"/>
  <c r="O44" i="7"/>
  <c r="K44"/>
  <c r="G44"/>
  <c r="M44"/>
  <c r="H44"/>
  <c r="L44"/>
  <c r="N44"/>
  <c r="I44"/>
  <c r="F44"/>
  <c r="J44"/>
  <c r="E62" i="1"/>
  <c r="P44" i="9" l="1"/>
  <c r="L44"/>
  <c r="H44"/>
  <c r="O44"/>
  <c r="K44"/>
  <c r="G44"/>
  <c r="N44"/>
  <c r="F44"/>
  <c r="Q44"/>
  <c r="I44"/>
  <c r="M44"/>
  <c r="J44"/>
  <c r="N45" i="7"/>
  <c r="J45"/>
  <c r="F45"/>
  <c r="L45"/>
  <c r="G45"/>
  <c r="M45"/>
  <c r="H45"/>
  <c r="O45"/>
  <c r="I45"/>
  <c r="K45"/>
  <c r="E63" i="1"/>
  <c r="P45" i="9" l="1"/>
  <c r="L45"/>
  <c r="H45"/>
  <c r="O45"/>
  <c r="K45"/>
  <c r="G45"/>
  <c r="N45"/>
  <c r="F45"/>
  <c r="Q45"/>
  <c r="I45"/>
  <c r="M45"/>
  <c r="J45"/>
  <c r="M46" i="7"/>
  <c r="I46"/>
  <c r="K46"/>
  <c r="F46"/>
  <c r="L46"/>
  <c r="G46"/>
  <c r="J46"/>
  <c r="N46"/>
  <c r="H46"/>
  <c r="O46"/>
  <c r="E64" i="1"/>
  <c r="P46" i="9" l="1"/>
  <c r="L46"/>
  <c r="H46"/>
  <c r="O46"/>
  <c r="K46"/>
  <c r="G46"/>
  <c r="N46"/>
  <c r="F46"/>
  <c r="Q46"/>
  <c r="I46"/>
  <c r="M46"/>
  <c r="J46"/>
  <c r="L47" i="7"/>
  <c r="H47"/>
  <c r="O47"/>
  <c r="J47"/>
  <c r="K47"/>
  <c r="F47"/>
  <c r="I47"/>
  <c r="M47"/>
  <c r="G47"/>
  <c r="N47"/>
  <c r="E65" i="1"/>
  <c r="P47" i="9" l="1"/>
  <c r="L47"/>
  <c r="H47"/>
  <c r="O47"/>
  <c r="K47"/>
  <c r="G47"/>
  <c r="N47"/>
  <c r="F47"/>
  <c r="Q47"/>
  <c r="I47"/>
  <c r="J47"/>
  <c r="M47"/>
  <c r="O48" i="7"/>
  <c r="K48"/>
  <c r="G48"/>
  <c r="N48"/>
  <c r="I48"/>
  <c r="J48"/>
  <c r="M48"/>
  <c r="L48"/>
  <c r="F48"/>
  <c r="H48"/>
  <c r="E66" i="1"/>
  <c r="P48" i="9" l="1"/>
  <c r="L48"/>
  <c r="H48"/>
  <c r="O48"/>
  <c r="K48"/>
  <c r="G48"/>
  <c r="N48"/>
  <c r="F48"/>
  <c r="Q48"/>
  <c r="I48"/>
  <c r="J48"/>
  <c r="M48"/>
  <c r="N49" i="7"/>
  <c r="J49"/>
  <c r="F49"/>
  <c r="M49"/>
  <c r="H49"/>
  <c r="O49"/>
  <c r="I49"/>
  <c r="G49"/>
  <c r="K49"/>
  <c r="L49"/>
  <c r="E67" i="1"/>
  <c r="P49" i="9" l="1"/>
  <c r="L49"/>
  <c r="H49"/>
  <c r="O49"/>
  <c r="K49"/>
  <c r="G49"/>
  <c r="N49"/>
  <c r="F49"/>
  <c r="Q49"/>
  <c r="I49"/>
  <c r="J49"/>
  <c r="M49"/>
  <c r="M50" i="7"/>
  <c r="I50"/>
  <c r="L50"/>
  <c r="G50"/>
  <c r="N50"/>
  <c r="H50"/>
  <c r="K50"/>
  <c r="O50"/>
  <c r="J50"/>
  <c r="F50"/>
  <c r="E68" i="1"/>
  <c r="P50" i="9" l="1"/>
  <c r="L50"/>
  <c r="H50"/>
  <c r="O50"/>
  <c r="K50"/>
  <c r="G50"/>
  <c r="N50"/>
  <c r="F50"/>
  <c r="Q50"/>
  <c r="I50"/>
  <c r="J50"/>
  <c r="M50"/>
  <c r="L51" i="7"/>
  <c r="H51"/>
  <c r="K51"/>
  <c r="F51"/>
  <c r="M51"/>
  <c r="G51"/>
  <c r="J51"/>
  <c r="N51"/>
  <c r="I51"/>
  <c r="O51"/>
  <c r="E69" i="1"/>
  <c r="P51" i="9" l="1"/>
  <c r="L51"/>
  <c r="H51"/>
  <c r="O51"/>
  <c r="K51"/>
  <c r="G51"/>
  <c r="N51"/>
  <c r="F51"/>
  <c r="Q51"/>
  <c r="I51"/>
  <c r="M51"/>
  <c r="J51"/>
  <c r="O52" i="7"/>
  <c r="K52"/>
  <c r="G52"/>
  <c r="J52"/>
  <c r="L52"/>
  <c r="F52"/>
  <c r="N52"/>
  <c r="M52"/>
  <c r="H52"/>
  <c r="I52"/>
  <c r="E70" i="1"/>
  <c r="P52" i="9" l="1"/>
  <c r="L52"/>
  <c r="H52"/>
  <c r="O52"/>
  <c r="K52"/>
  <c r="G52"/>
  <c r="N52"/>
  <c r="F52"/>
  <c r="Q52"/>
  <c r="I52"/>
  <c r="M52"/>
  <c r="J52"/>
  <c r="N53" i="7"/>
  <c r="J53"/>
  <c r="F53"/>
  <c r="O53"/>
  <c r="I53"/>
  <c r="K53"/>
  <c r="H53"/>
  <c r="L53"/>
  <c r="G53"/>
  <c r="M53"/>
  <c r="E71" i="1"/>
  <c r="P53" i="9" l="1"/>
  <c r="L53"/>
  <c r="H53"/>
  <c r="O53"/>
  <c r="K53"/>
  <c r="G53"/>
  <c r="N53"/>
  <c r="F53"/>
  <c r="Q53"/>
  <c r="I53"/>
  <c r="M53"/>
  <c r="J53"/>
  <c r="M54" i="7"/>
  <c r="I54"/>
  <c r="N54"/>
  <c r="H54"/>
  <c r="O54"/>
  <c r="J54"/>
  <c r="L54"/>
  <c r="K54"/>
  <c r="F54"/>
  <c r="G54"/>
  <c r="E72" i="1"/>
  <c r="P54" i="9" l="1"/>
  <c r="L54"/>
  <c r="H54"/>
  <c r="O54"/>
  <c r="K54"/>
  <c r="G54"/>
  <c r="N54"/>
  <c r="F54"/>
  <c r="Q54"/>
  <c r="I54"/>
  <c r="M54"/>
  <c r="J54"/>
  <c r="L55" i="7"/>
  <c r="H55"/>
  <c r="M55"/>
  <c r="G55"/>
  <c r="N55"/>
  <c r="I55"/>
  <c r="F55"/>
  <c r="O55"/>
  <c r="J55"/>
  <c r="K55"/>
  <c r="E73" i="1"/>
  <c r="P55" i="9" l="1"/>
  <c r="L55"/>
  <c r="H55"/>
  <c r="O55"/>
  <c r="K55"/>
  <c r="G55"/>
  <c r="N55"/>
  <c r="F55"/>
  <c r="Q55"/>
  <c r="I55"/>
  <c r="M55"/>
  <c r="J55"/>
  <c r="O56" i="7"/>
  <c r="K56"/>
  <c r="G56"/>
  <c r="L56"/>
  <c r="F56"/>
  <c r="M56"/>
  <c r="H56"/>
  <c r="J56"/>
  <c r="N56"/>
  <c r="I56"/>
  <c r="E74" i="1"/>
  <c r="P56" i="9" l="1"/>
  <c r="L56"/>
  <c r="H56"/>
  <c r="O56"/>
  <c r="K56"/>
  <c r="G56"/>
  <c r="N56"/>
  <c r="F56"/>
  <c r="Q56"/>
  <c r="I56"/>
  <c r="M56"/>
  <c r="J56"/>
  <c r="N57" i="7"/>
  <c r="J57"/>
  <c r="F57"/>
  <c r="K57"/>
  <c r="L57"/>
  <c r="G57"/>
  <c r="O57"/>
  <c r="M57"/>
  <c r="H57"/>
  <c r="I57"/>
  <c r="E75" i="1"/>
  <c r="P57" i="9" l="1"/>
  <c r="L57"/>
  <c r="H57"/>
  <c r="O57"/>
  <c r="K57"/>
  <c r="G57"/>
  <c r="N57"/>
  <c r="F57"/>
  <c r="Q57"/>
  <c r="I57"/>
  <c r="M57"/>
  <c r="J57"/>
  <c r="E76" i="1"/>
  <c r="P58" i="9" l="1"/>
  <c r="L58"/>
  <c r="H58"/>
  <c r="O58"/>
  <c r="K58"/>
  <c r="G58"/>
  <c r="N58"/>
  <c r="F58"/>
  <c r="Q58"/>
  <c r="I58"/>
  <c r="M58"/>
  <c r="J58"/>
  <c r="E77" i="1"/>
  <c r="P59" i="9" l="1"/>
  <c r="L59"/>
  <c r="H59"/>
  <c r="O59"/>
  <c r="K59"/>
  <c r="G59"/>
  <c r="N59"/>
  <c r="F59"/>
  <c r="Q59"/>
  <c r="I59"/>
  <c r="M59"/>
  <c r="J59"/>
  <c r="E78" i="1"/>
  <c r="P60" i="9" l="1"/>
  <c r="L60"/>
  <c r="H60"/>
  <c r="O60"/>
  <c r="K60"/>
  <c r="G60"/>
  <c r="N60"/>
  <c r="F60"/>
  <c r="Q60"/>
  <c r="I60"/>
  <c r="M60"/>
  <c r="J60"/>
  <c r="E79" i="1"/>
  <c r="P61" i="9" l="1"/>
  <c r="L61"/>
  <c r="H61"/>
  <c r="O61"/>
  <c r="K61"/>
  <c r="G61"/>
  <c r="N61"/>
  <c r="F61"/>
  <c r="Q61"/>
  <c r="I61"/>
  <c r="M61"/>
  <c r="J61"/>
  <c r="E80" i="1"/>
  <c r="P62" i="9" l="1"/>
  <c r="L62"/>
  <c r="H62"/>
  <c r="O62"/>
  <c r="K62"/>
  <c r="G62"/>
  <c r="N62"/>
  <c r="F62"/>
  <c r="Q62"/>
  <c r="I62"/>
  <c r="M62"/>
  <c r="J62"/>
  <c r="E81" i="1"/>
  <c r="P63" i="9" l="1"/>
  <c r="L63"/>
  <c r="H63"/>
  <c r="O63"/>
  <c r="K63"/>
  <c r="G63"/>
  <c r="N63"/>
  <c r="F63"/>
  <c r="Q63"/>
  <c r="I63"/>
  <c r="M63"/>
  <c r="J63"/>
  <c r="E82" i="1"/>
  <c r="P64" i="9" l="1"/>
  <c r="L64"/>
  <c r="H64"/>
  <c r="O64"/>
  <c r="K64"/>
  <c r="G64"/>
  <c r="N64"/>
  <c r="F64"/>
  <c r="Q64"/>
  <c r="I64"/>
  <c r="M64"/>
  <c r="J64"/>
  <c r="E83" i="1"/>
  <c r="P65" i="9" l="1"/>
  <c r="L65"/>
  <c r="H65"/>
  <c r="O65"/>
  <c r="K65"/>
  <c r="G65"/>
  <c r="N65"/>
  <c r="F65"/>
  <c r="Q65"/>
  <c r="I65"/>
  <c r="M65"/>
  <c r="J65"/>
  <c r="E84" i="1"/>
  <c r="P66" i="9" l="1"/>
  <c r="L66"/>
  <c r="H66"/>
  <c r="O66"/>
  <c r="K66"/>
  <c r="G66"/>
  <c r="N66"/>
  <c r="F66"/>
  <c r="Q66"/>
  <c r="I66"/>
  <c r="M66"/>
  <c r="J66"/>
  <c r="E85" i="1"/>
  <c r="P67" i="9" l="1"/>
  <c r="L67"/>
  <c r="H67"/>
  <c r="O67"/>
  <c r="K67"/>
  <c r="G67"/>
  <c r="N67"/>
  <c r="F67"/>
  <c r="Q67"/>
  <c r="I67"/>
  <c r="M67"/>
  <c r="J67"/>
  <c r="E86" i="1"/>
  <c r="E87" l="1"/>
  <c r="E88" l="1"/>
  <c r="E89" l="1"/>
  <c r="E90" l="1"/>
  <c r="E91" l="1"/>
  <c r="E92" l="1"/>
  <c r="E93" l="1"/>
  <c r="E94" l="1"/>
  <c r="E95" l="1"/>
  <c r="E96" l="1"/>
  <c r="E97" l="1"/>
  <c r="E98" l="1"/>
  <c r="E99" l="1"/>
  <c r="E100" l="1"/>
  <c r="E101" l="1"/>
  <c r="E102" l="1"/>
  <c r="E103" l="1"/>
  <c r="E104" l="1"/>
  <c r="E105" l="1"/>
  <c r="E106" l="1"/>
  <c r="E107" l="1"/>
  <c r="E108" l="1"/>
  <c r="E109" l="1"/>
  <c r="E110" l="1"/>
  <c r="E111" l="1"/>
  <c r="E112" l="1"/>
  <c r="E113" l="1"/>
  <c r="E114" l="1"/>
  <c r="E115" l="1"/>
  <c r="E116" l="1"/>
  <c r="E117" s="1"/>
  <c r="E118" s="1"/>
  <c r="E119" s="1"/>
  <c r="E120" s="1"/>
  <c r="E121" s="1"/>
  <c r="E122" s="1"/>
  <c r="E123" s="1"/>
  <c r="E124" s="1"/>
  <c r="E125" s="1"/>
  <c r="E126" s="1"/>
  <c r="E127" s="1"/>
  <c r="E128" s="1"/>
  <c r="E129" s="1"/>
  <c r="E130" s="1"/>
  <c r="E131" s="1"/>
  <c r="E132" s="1"/>
  <c r="E133" s="1"/>
  <c r="E134" s="1"/>
  <c r="E135" s="1"/>
  <c r="E136" s="1"/>
  <c r="E137" s="1"/>
  <c r="E138" s="1"/>
  <c r="E139" s="1"/>
  <c r="E140" s="1"/>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E170" s="1"/>
  <c r="E171" s="1"/>
  <c r="E172" s="1"/>
  <c r="E173" s="1"/>
  <c r="E174" s="1"/>
  <c r="E175" s="1"/>
  <c r="E176" s="1"/>
  <c r="E177" s="1"/>
  <c r="E178" s="1"/>
  <c r="E179" s="1"/>
  <c r="E180" s="1"/>
  <c r="E181" s="1"/>
  <c r="E182" s="1"/>
  <c r="E183" s="1"/>
  <c r="E184" s="1"/>
  <c r="E185" s="1"/>
  <c r="E186" s="1"/>
  <c r="E187" s="1"/>
  <c r="E188" s="1"/>
  <c r="E189" s="1"/>
  <c r="E190" s="1"/>
  <c r="E191" s="1"/>
  <c r="E192" s="1"/>
  <c r="E193" s="1"/>
  <c r="E194" s="1"/>
  <c r="E195" s="1"/>
  <c r="E196" s="1"/>
  <c r="E197" s="1"/>
  <c r="E198" s="1"/>
  <c r="E199" s="1"/>
  <c r="E200" s="1"/>
  <c r="E201" s="1"/>
  <c r="E202" s="1"/>
  <c r="E203" s="1"/>
  <c r="E204" s="1"/>
  <c r="E205" s="1"/>
  <c r="E206" s="1"/>
  <c r="E207" s="1"/>
  <c r="E208" s="1"/>
  <c r="E209" s="1"/>
  <c r="E210" s="1"/>
  <c r="E211" s="1"/>
  <c r="E212" s="1"/>
  <c r="E213" s="1"/>
  <c r="E214" s="1"/>
  <c r="E215" s="1"/>
  <c r="E216" s="1"/>
  <c r="E217" s="1"/>
  <c r="E218" s="1"/>
  <c r="E219" s="1"/>
  <c r="E220" s="1"/>
  <c r="E221" s="1"/>
  <c r="E222" s="1"/>
  <c r="E223" s="1"/>
  <c r="E224" s="1"/>
  <c r="E225" s="1"/>
  <c r="E226" s="1"/>
  <c r="E227" s="1"/>
  <c r="E228" s="1"/>
  <c r="E229" s="1"/>
  <c r="E230" s="1"/>
  <c r="E231" s="1"/>
  <c r="E232" s="1"/>
  <c r="E233" s="1"/>
  <c r="E234" s="1"/>
  <c r="E235" s="1"/>
  <c r="E236" s="1"/>
  <c r="E237" s="1"/>
  <c r="E238" s="1"/>
  <c r="E239" s="1"/>
  <c r="E240" s="1"/>
  <c r="E241" s="1"/>
  <c r="E242" s="1"/>
  <c r="E243" s="1"/>
  <c r="E244" s="1"/>
  <c r="E245" s="1"/>
  <c r="E246" s="1"/>
  <c r="E247" s="1"/>
  <c r="E248" s="1"/>
  <c r="E249" s="1"/>
  <c r="E250" s="1"/>
  <c r="E251" s="1"/>
  <c r="E252" s="1"/>
  <c r="E253" s="1"/>
  <c r="E254" s="1"/>
  <c r="E255" s="1"/>
  <c r="L32" i="12" l="1"/>
  <c r="L37"/>
  <c r="L23"/>
  <c r="L41"/>
  <c r="L31"/>
  <c r="L19"/>
  <c r="L20"/>
  <c r="L33"/>
  <c r="L42"/>
  <c r="L16"/>
  <c r="L18"/>
  <c r="L14"/>
  <c r="L43"/>
  <c r="L30"/>
  <c r="L11"/>
  <c r="L36"/>
  <c r="L15"/>
  <c r="L44"/>
  <c r="L40"/>
  <c r="L39"/>
  <c r="L25"/>
  <c r="L12"/>
  <c r="L35"/>
  <c r="L34"/>
  <c r="L26"/>
  <c r="L29"/>
  <c r="L27"/>
  <c r="L13"/>
  <c r="L24"/>
  <c r="L17"/>
  <c r="L38"/>
  <c r="L46"/>
  <c r="L28"/>
  <c r="L45"/>
  <c r="L21"/>
  <c r="L22"/>
  <c r="M28" l="1"/>
  <c r="K28"/>
  <c r="N28"/>
  <c r="G28"/>
  <c r="N26"/>
  <c r="K26"/>
  <c r="M26"/>
  <c r="G26"/>
  <c r="M15"/>
  <c r="N15"/>
  <c r="K15"/>
  <c r="G15"/>
  <c r="M42"/>
  <c r="K42"/>
  <c r="G42"/>
  <c r="N42"/>
  <c r="K32"/>
  <c r="M32"/>
  <c r="N32"/>
  <c r="G32"/>
  <c r="G45"/>
  <c r="N45"/>
  <c r="K45"/>
  <c r="M45"/>
  <c r="K17"/>
  <c r="G17"/>
  <c r="N17"/>
  <c r="M17"/>
  <c r="K29"/>
  <c r="G29"/>
  <c r="M29"/>
  <c r="N29"/>
  <c r="N12"/>
  <c r="K12"/>
  <c r="M12"/>
  <c r="G12"/>
  <c r="N44"/>
  <c r="M44"/>
  <c r="G44"/>
  <c r="K44"/>
  <c r="N30"/>
  <c r="K30"/>
  <c r="G30"/>
  <c r="M30"/>
  <c r="N16"/>
  <c r="M16"/>
  <c r="G16"/>
  <c r="K16"/>
  <c r="M19"/>
  <c r="G19"/>
  <c r="N19"/>
  <c r="K19"/>
  <c r="K37"/>
  <c r="M37"/>
  <c r="G37"/>
  <c r="N37"/>
  <c r="G21"/>
  <c r="K21"/>
  <c r="N21"/>
  <c r="M21"/>
  <c r="M38"/>
  <c r="N38"/>
  <c r="G38"/>
  <c r="K38"/>
  <c r="G27"/>
  <c r="K27"/>
  <c r="M27"/>
  <c r="N27"/>
  <c r="N35"/>
  <c r="M35"/>
  <c r="G35"/>
  <c r="K35"/>
  <c r="M40"/>
  <c r="K40"/>
  <c r="G40"/>
  <c r="N40"/>
  <c r="M11"/>
  <c r="N11"/>
  <c r="K11"/>
  <c r="G11"/>
  <c r="G18"/>
  <c r="M18"/>
  <c r="N18"/>
  <c r="K18"/>
  <c r="N20"/>
  <c r="M20"/>
  <c r="K20"/>
  <c r="G20"/>
  <c r="G23"/>
  <c r="K23"/>
  <c r="M23"/>
  <c r="N23"/>
  <c r="K24"/>
  <c r="N24"/>
  <c r="G24"/>
  <c r="M24"/>
  <c r="N25"/>
  <c r="M25"/>
  <c r="G25"/>
  <c r="K25"/>
  <c r="N43"/>
  <c r="G43"/>
  <c r="M43"/>
  <c r="K43"/>
  <c r="M31"/>
  <c r="K31"/>
  <c r="N31"/>
  <c r="G31"/>
  <c r="N22"/>
  <c r="G22"/>
  <c r="K22"/>
  <c r="M22"/>
  <c r="N46"/>
  <c r="K46"/>
  <c r="G46"/>
  <c r="M46"/>
  <c r="G13"/>
  <c r="M13"/>
  <c r="K13"/>
  <c r="N13"/>
  <c r="G34"/>
  <c r="K34"/>
  <c r="N34"/>
  <c r="M34"/>
  <c r="G39"/>
  <c r="K39"/>
  <c r="M39"/>
  <c r="N39"/>
  <c r="K36"/>
  <c r="M36"/>
  <c r="G36"/>
  <c r="N36"/>
  <c r="N14"/>
  <c r="K14"/>
  <c r="G14"/>
  <c r="M14"/>
  <c r="G33"/>
  <c r="M33"/>
  <c r="K33"/>
  <c r="N33"/>
  <c r="M41"/>
  <c r="G41"/>
  <c r="N41"/>
  <c r="K41"/>
  <c r="L14" i="11" l="1"/>
  <c r="L37" s="1"/>
  <c r="L62" s="1"/>
  <c r="R4" i="20" s="1"/>
  <c r="W28" i="11"/>
  <c r="W51" s="1"/>
  <c r="W76" s="1"/>
  <c r="AC18" i="20" s="1"/>
  <c r="K18" i="11"/>
  <c r="K41" s="1"/>
  <c r="K66" s="1"/>
  <c r="Q8" i="20" s="1"/>
  <c r="S26" i="11"/>
  <c r="S49" s="1"/>
  <c r="S74" s="1"/>
  <c r="Y16" i="20" s="1"/>
  <c r="K24" i="11"/>
  <c r="K47" s="1"/>
  <c r="K72" s="1"/>
  <c r="Q14" i="20" s="1"/>
  <c r="X25" i="11"/>
  <c r="V13"/>
  <c r="S29"/>
  <c r="S52" s="1"/>
  <c r="S77" s="1"/>
  <c r="Y19" i="20" s="1"/>
  <c r="I14" i="11"/>
  <c r="I37" s="1"/>
  <c r="I62" s="1"/>
  <c r="O4" i="20" s="1"/>
  <c r="F28" i="11"/>
  <c r="F51" s="1"/>
  <c r="F76" s="1"/>
  <c r="L18" i="20" s="1"/>
  <c r="P17" i="11"/>
  <c r="P40" s="1"/>
  <c r="P65" s="1"/>
  <c r="V7" i="20" s="1"/>
  <c r="T16" i="11"/>
  <c r="T39" s="1"/>
  <c r="T64" s="1"/>
  <c r="I25"/>
  <c r="I48" s="1"/>
  <c r="I73" s="1"/>
  <c r="O15" i="20" s="1"/>
  <c r="R27" i="11"/>
  <c r="R50" s="1"/>
  <c r="R75" s="1"/>
  <c r="X17" i="20" s="1"/>
  <c r="M27" i="11"/>
  <c r="M50" s="1"/>
  <c r="M75" s="1"/>
  <c r="S17" i="20" s="1"/>
  <c r="V18" i="11"/>
  <c r="V41" s="1"/>
  <c r="V66" s="1"/>
  <c r="AB8" i="20" s="1"/>
  <c r="T29" i="11"/>
  <c r="T52" s="1"/>
  <c r="T77" s="1"/>
  <c r="Z19" i="20" s="1"/>
  <c r="S19" i="11"/>
  <c r="S42" s="1"/>
  <c r="S67" s="1"/>
  <c r="Y9" i="20" s="1"/>
  <c r="M25" i="11"/>
  <c r="M48" s="1"/>
  <c r="M73" s="1"/>
  <c r="S15" i="20" s="1"/>
  <c r="R25" i="11"/>
  <c r="R48" s="1"/>
  <c r="R73" s="1"/>
  <c r="X15" i="20" s="1"/>
  <c r="R28" i="11"/>
  <c r="R51" s="1"/>
  <c r="R76" s="1"/>
  <c r="X18" i="20" s="1"/>
  <c r="I13" i="11"/>
  <c r="X21"/>
  <c r="Q17"/>
  <c r="Q40" s="1"/>
  <c r="Q65" s="1"/>
  <c r="W7" i="20" s="1"/>
  <c r="M21" i="11"/>
  <c r="M44" s="1"/>
  <c r="M69" s="1"/>
  <c r="S11" i="20" s="1"/>
  <c r="T13" i="11"/>
  <c r="V17"/>
  <c r="V40" s="1"/>
  <c r="V65" s="1"/>
  <c r="AB7" i="20" s="1"/>
  <c r="V30" i="11"/>
  <c r="V53" s="1"/>
  <c r="V78" s="1"/>
  <c r="AB20" i="20" s="1"/>
  <c r="T25" i="11"/>
  <c r="T48" s="1"/>
  <c r="T73" s="1"/>
  <c r="Z15" i="20" s="1"/>
  <c r="H25" i="11"/>
  <c r="H48" s="1"/>
  <c r="H73" s="1"/>
  <c r="N15" i="20" s="1"/>
  <c r="Q26" i="11"/>
  <c r="Q49" s="1"/>
  <c r="Q74" s="1"/>
  <c r="W16" i="20" s="1"/>
  <c r="F26" i="11"/>
  <c r="F49" s="1"/>
  <c r="F74" s="1"/>
  <c r="L16" i="20" s="1"/>
  <c r="X16" i="11"/>
  <c r="W15"/>
  <c r="W38" s="1"/>
  <c r="W63" s="1"/>
  <c r="AC5" i="20" s="1"/>
  <c r="R15" i="11"/>
  <c r="R38" s="1"/>
  <c r="R63" s="1"/>
  <c r="X5" i="20" s="1"/>
  <c r="F14" i="11"/>
  <c r="F37" s="1"/>
  <c r="F62" s="1"/>
  <c r="L4" i="20" s="1"/>
  <c r="T26" i="11"/>
  <c r="T49" s="1"/>
  <c r="T74" s="1"/>
  <c r="Z16" i="20" s="1"/>
  <c r="S14" i="11"/>
  <c r="S37" s="1"/>
  <c r="S62" s="1"/>
  <c r="Y4" i="20" s="1"/>
  <c r="W29" i="11"/>
  <c r="W52" s="1"/>
  <c r="W77" s="1"/>
  <c r="AC19" i="20" s="1"/>
  <c r="J16" i="11"/>
  <c r="J39" s="1"/>
  <c r="J64" s="1"/>
  <c r="J29"/>
  <c r="J52" s="1"/>
  <c r="J77" s="1"/>
  <c r="P19" i="20" s="1"/>
  <c r="V20" i="11"/>
  <c r="V43" s="1"/>
  <c r="V68" s="1"/>
  <c r="AB10" i="20" s="1"/>
  <c r="U21" i="11"/>
  <c r="U44" s="1"/>
  <c r="U69" s="1"/>
  <c r="AA11" i="20" s="1"/>
  <c r="W20" i="11"/>
  <c r="W43" s="1"/>
  <c r="W68" s="1"/>
  <c r="AC10" i="20" s="1"/>
  <c r="I30" i="11"/>
  <c r="I53" s="1"/>
  <c r="I78" s="1"/>
  <c r="O20" i="20" s="1"/>
  <c r="N25" i="11"/>
  <c r="N48" s="1"/>
  <c r="N73" s="1"/>
  <c r="T15" i="20" s="1"/>
  <c r="G19" i="11"/>
  <c r="G42" s="1"/>
  <c r="G67" s="1"/>
  <c r="M9" i="20" s="1"/>
  <c r="Q18" i="11"/>
  <c r="Q41" s="1"/>
  <c r="Q66" s="1"/>
  <c r="W8" i="20" s="1"/>
  <c r="P22" i="11"/>
  <c r="P45" s="1"/>
  <c r="P70" s="1"/>
  <c r="V12" i="20" s="1"/>
  <c r="V19" i="11"/>
  <c r="V42" s="1"/>
  <c r="V67" s="1"/>
  <c r="AB9" i="20" s="1"/>
  <c r="S24" i="11"/>
  <c r="S47" s="1"/>
  <c r="S72" s="1"/>
  <c r="Y14" i="20" s="1"/>
  <c r="O14" i="11"/>
  <c r="O37" s="1"/>
  <c r="O62" s="1"/>
  <c r="U4" i="20" s="1"/>
  <c r="T22" i="11"/>
  <c r="T45" s="1"/>
  <c r="T70" s="1"/>
  <c r="Z12" i="20" s="1"/>
  <c r="K19" i="11"/>
  <c r="K42" s="1"/>
  <c r="K67" s="1"/>
  <c r="Q9" i="20" s="1"/>
  <c r="N30" i="11"/>
  <c r="N53" s="1"/>
  <c r="N78" s="1"/>
  <c r="T20" i="20" s="1"/>
  <c r="N13" i="11"/>
  <c r="J28"/>
  <c r="J51" s="1"/>
  <c r="J76" s="1"/>
  <c r="P18" i="20" s="1"/>
  <c r="V29" i="11"/>
  <c r="V52" s="1"/>
  <c r="V77" s="1"/>
  <c r="AB19" i="20" s="1"/>
  <c r="K27" i="11"/>
  <c r="K50" s="1"/>
  <c r="K75" s="1"/>
  <c r="Q17" i="20" s="1"/>
  <c r="W17" i="11"/>
  <c r="W40" s="1"/>
  <c r="W65" s="1"/>
  <c r="AC7" i="20" s="1"/>
  <c r="X14" i="11"/>
  <c r="H26"/>
  <c r="H49" s="1"/>
  <c r="H74" s="1"/>
  <c r="N16" i="20" s="1"/>
  <c r="R22" i="11"/>
  <c r="R45" s="1"/>
  <c r="R70" s="1"/>
  <c r="X12" i="20" s="1"/>
  <c r="Q19" i="11"/>
  <c r="Q42" s="1"/>
  <c r="Q67" s="1"/>
  <c r="W9" i="20" s="1"/>
  <c r="G30" i="11"/>
  <c r="G53" s="1"/>
  <c r="G78" s="1"/>
  <c r="M20" i="20" s="1"/>
  <c r="L26" i="11"/>
  <c r="L49" s="1"/>
  <c r="L74" s="1"/>
  <c r="R16" i="20" s="1"/>
  <c r="L25" i="11"/>
  <c r="L48" s="1"/>
  <c r="L73" s="1"/>
  <c r="R15" i="20" s="1"/>
  <c r="U19" i="11"/>
  <c r="U42" s="1"/>
  <c r="U67" s="1"/>
  <c r="AA9" i="20" s="1"/>
  <c r="I19" i="11"/>
  <c r="I42" s="1"/>
  <c r="I67" s="1"/>
  <c r="O9" i="20" s="1"/>
  <c r="F29" i="11"/>
  <c r="F52" s="1"/>
  <c r="F77" s="1"/>
  <c r="L19" i="20" s="1"/>
  <c r="Q24" i="11"/>
  <c r="Q47" s="1"/>
  <c r="Q72" s="1"/>
  <c r="W14" i="20" s="1"/>
  <c r="G20" i="11"/>
  <c r="G43" s="1"/>
  <c r="G68" s="1"/>
  <c r="M10" i="20" s="1"/>
  <c r="L21" i="11"/>
  <c r="L44" s="1"/>
  <c r="L69" s="1"/>
  <c r="R11" i="20" s="1"/>
  <c r="G15" i="11"/>
  <c r="G38" s="1"/>
  <c r="G63" s="1"/>
  <c r="M5" i="20" s="1"/>
  <c r="H13" i="11"/>
  <c r="R23"/>
  <c r="R46" s="1"/>
  <c r="R71" s="1"/>
  <c r="X13" i="20" s="1"/>
  <c r="O27" i="11"/>
  <c r="O50" s="1"/>
  <c r="O75" s="1"/>
  <c r="U17" i="20" s="1"/>
  <c r="M16" i="11"/>
  <c r="M39" s="1"/>
  <c r="M64" s="1"/>
  <c r="J25"/>
  <c r="J48" s="1"/>
  <c r="J73" s="1"/>
  <c r="P15" i="20" s="1"/>
  <c r="T14" i="11"/>
  <c r="T37" s="1"/>
  <c r="T62" s="1"/>
  <c r="Z4" i="20" s="1"/>
  <c r="P20" i="11"/>
  <c r="P43" s="1"/>
  <c r="P68" s="1"/>
  <c r="V10" i="20" s="1"/>
  <c r="T18" i="11"/>
  <c r="T41" s="1"/>
  <c r="T66" s="1"/>
  <c r="Z8" i="20" s="1"/>
  <c r="N17" i="11"/>
  <c r="N40" s="1"/>
  <c r="N65" s="1"/>
  <c r="T7" i="20" s="1"/>
  <c r="Q21" i="11"/>
  <c r="Q44" s="1"/>
  <c r="Q69" s="1"/>
  <c r="W11" i="20" s="1"/>
  <c r="F15" i="11"/>
  <c r="F38" s="1"/>
  <c r="F63" s="1"/>
  <c r="L5" i="20" s="1"/>
  <c r="I21" i="11"/>
  <c r="I44" s="1"/>
  <c r="I69" s="1"/>
  <c r="O11" i="20" s="1"/>
  <c r="W22" i="11"/>
  <c r="W45" s="1"/>
  <c r="W70" s="1"/>
  <c r="AC12" i="20" s="1"/>
  <c r="L27" i="11"/>
  <c r="L50" s="1"/>
  <c r="L75" s="1"/>
  <c r="R17" i="20" s="1"/>
  <c r="K28" i="11"/>
  <c r="K51" s="1"/>
  <c r="K76" s="1"/>
  <c r="Q18" i="20" s="1"/>
  <c r="U30" i="11"/>
  <c r="U53" s="1"/>
  <c r="U78" s="1"/>
  <c r="AA20" i="20" s="1"/>
  <c r="S28" i="11"/>
  <c r="S51" s="1"/>
  <c r="S76" s="1"/>
  <c r="Y18" i="20" s="1"/>
  <c r="I28" i="11"/>
  <c r="I51" s="1"/>
  <c r="I76" s="1"/>
  <c r="O18" i="20" s="1"/>
  <c r="T17" i="11"/>
  <c r="T40" s="1"/>
  <c r="T65" s="1"/>
  <c r="Z7" i="20" s="1"/>
  <c r="P23" i="11"/>
  <c r="P46" s="1"/>
  <c r="P71" s="1"/>
  <c r="V13" i="20" s="1"/>
  <c r="M29" i="11"/>
  <c r="M52" s="1"/>
  <c r="M77" s="1"/>
  <c r="S19" i="20" s="1"/>
  <c r="W24" i="11"/>
  <c r="W47" s="1"/>
  <c r="W72" s="1"/>
  <c r="AC14" i="20" s="1"/>
  <c r="Q15" i="11"/>
  <c r="Q38" s="1"/>
  <c r="Q63" s="1"/>
  <c r="W5" i="20" s="1"/>
  <c r="K25" i="11"/>
  <c r="K48" s="1"/>
  <c r="K73" s="1"/>
  <c r="Q15" i="20" s="1"/>
  <c r="V15" i="11"/>
  <c r="V38" s="1"/>
  <c r="V63" s="1"/>
  <c r="AB5" i="20" s="1"/>
  <c r="P18" i="11"/>
  <c r="P41" s="1"/>
  <c r="P66" s="1"/>
  <c r="V8" i="20" s="1"/>
  <c r="R26" i="11"/>
  <c r="R49" s="1"/>
  <c r="R74" s="1"/>
  <c r="X16" i="20" s="1"/>
  <c r="N24" i="11"/>
  <c r="N47" s="1"/>
  <c r="N72" s="1"/>
  <c r="T14" i="20" s="1"/>
  <c r="J20" i="11"/>
  <c r="J43" s="1"/>
  <c r="J68" s="1"/>
  <c r="P10" i="20" s="1"/>
  <c r="K20" i="11"/>
  <c r="K43" s="1"/>
  <c r="K68" s="1"/>
  <c r="Q10" i="20" s="1"/>
  <c r="X27" i="11"/>
  <c r="G21"/>
  <c r="G44" s="1"/>
  <c r="G69" s="1"/>
  <c r="M11" i="20" s="1"/>
  <c r="Q22" i="11"/>
  <c r="Q45" s="1"/>
  <c r="Q70" s="1"/>
  <c r="W12" i="20" s="1"/>
  <c r="U18" i="11"/>
  <c r="U41" s="1"/>
  <c r="U66" s="1"/>
  <c r="AA8" i="20" s="1"/>
  <c r="N22" i="11"/>
  <c r="N45" s="1"/>
  <c r="N70" s="1"/>
  <c r="T12" i="20" s="1"/>
  <c r="L18" i="11"/>
  <c r="L41" s="1"/>
  <c r="L66" s="1"/>
  <c r="R8" i="20" s="1"/>
  <c r="G22" i="11"/>
  <c r="G45" s="1"/>
  <c r="G70" s="1"/>
  <c r="M12" i="20" s="1"/>
  <c r="N23" i="11"/>
  <c r="N46" s="1"/>
  <c r="N71" s="1"/>
  <c r="T13" i="20" s="1"/>
  <c r="H18" i="11"/>
  <c r="H41" s="1"/>
  <c r="H66" s="1"/>
  <c r="N8" i="20" s="1"/>
  <c r="S20" i="11"/>
  <c r="S43" s="1"/>
  <c r="S68" s="1"/>
  <c r="Y10" i="20" s="1"/>
  <c r="N21" i="11"/>
  <c r="N44" s="1"/>
  <c r="N69" s="1"/>
  <c r="T11" i="20" s="1"/>
  <c r="U22" i="11"/>
  <c r="U45" s="1"/>
  <c r="U70" s="1"/>
  <c r="AA12" i="20" s="1"/>
  <c r="P28" i="11"/>
  <c r="P51" s="1"/>
  <c r="P76" s="1"/>
  <c r="V18" i="20" s="1"/>
  <c r="T27" i="11"/>
  <c r="T50" s="1"/>
  <c r="T75" s="1"/>
  <c r="Z17" i="20" s="1"/>
  <c r="L16" i="11"/>
  <c r="L39" s="1"/>
  <c r="L64" s="1"/>
  <c r="K23"/>
  <c r="K46" s="1"/>
  <c r="K71" s="1"/>
  <c r="Q13" i="20" s="1"/>
  <c r="S21" i="11"/>
  <c r="S44" s="1"/>
  <c r="S69" s="1"/>
  <c r="Y11" i="20" s="1"/>
  <c r="P24" i="11"/>
  <c r="P47" s="1"/>
  <c r="P72" s="1"/>
  <c r="V14" i="20" s="1"/>
  <c r="T24" i="11"/>
  <c r="T47" s="1"/>
  <c r="T72" s="1"/>
  <c r="Z14" i="20" s="1"/>
  <c r="H14" i="11"/>
  <c r="H37" s="1"/>
  <c r="H62" s="1"/>
  <c r="N4" i="20" s="1"/>
  <c r="J27" i="11"/>
  <c r="J50" s="1"/>
  <c r="J75" s="1"/>
  <c r="P17" i="20" s="1"/>
  <c r="X13" i="11"/>
  <c r="M17"/>
  <c r="M40" s="1"/>
  <c r="M65" s="1"/>
  <c r="S7" i="20" s="1"/>
  <c r="T23" i="11"/>
  <c r="T46" s="1"/>
  <c r="T71" s="1"/>
  <c r="Z13" i="20" s="1"/>
  <c r="F25" i="11"/>
  <c r="F48" s="1"/>
  <c r="F73" s="1"/>
  <c r="L15" i="20" s="1"/>
  <c r="J23" i="11"/>
  <c r="J46" s="1"/>
  <c r="J71" s="1"/>
  <c r="P13" i="20" s="1"/>
  <c r="J26" i="11"/>
  <c r="J49" s="1"/>
  <c r="J74" s="1"/>
  <c r="P16" i="20" s="1"/>
  <c r="O18" i="11"/>
  <c r="O41" s="1"/>
  <c r="O66" s="1"/>
  <c r="U8" i="20" s="1"/>
  <c r="M22" i="11"/>
  <c r="M45" s="1"/>
  <c r="M70" s="1"/>
  <c r="S12" i="20" s="1"/>
  <c r="U25" i="11"/>
  <c r="U48" s="1"/>
  <c r="U73" s="1"/>
  <c r="AA15" i="20" s="1"/>
  <c r="F23" i="11"/>
  <c r="F46" s="1"/>
  <c r="F71" s="1"/>
  <c r="L13" i="20" s="1"/>
  <c r="M20" i="11"/>
  <c r="M43" s="1"/>
  <c r="M68" s="1"/>
  <c r="S10" i="20" s="1"/>
  <c r="K29" i="11"/>
  <c r="K52" s="1"/>
  <c r="K77" s="1"/>
  <c r="Q19" i="20" s="1"/>
  <c r="Q16" i="11"/>
  <c r="Q39" s="1"/>
  <c r="Q64" s="1"/>
  <c r="V25"/>
  <c r="V48" s="1"/>
  <c r="V73" s="1"/>
  <c r="AB15" i="20" s="1"/>
  <c r="H29" i="11"/>
  <c r="H52" s="1"/>
  <c r="H77" s="1"/>
  <c r="N19" i="20" s="1"/>
  <c r="L19" i="11"/>
  <c r="L42" s="1"/>
  <c r="L67" s="1"/>
  <c r="R9" i="20" s="1"/>
  <c r="J30" i="11"/>
  <c r="J53" s="1"/>
  <c r="J78" s="1"/>
  <c r="P20" i="20" s="1"/>
  <c r="S23" i="11"/>
  <c r="S46" s="1"/>
  <c r="S71" s="1"/>
  <c r="Y13" i="20" s="1"/>
  <c r="G16" i="11"/>
  <c r="G39" s="1"/>
  <c r="G64" s="1"/>
  <c r="X20"/>
  <c r="M14"/>
  <c r="M37" s="1"/>
  <c r="M62" s="1"/>
  <c r="S4" i="20" s="1"/>
  <c r="L22" i="11"/>
  <c r="L45" s="1"/>
  <c r="L70" s="1"/>
  <c r="R12" i="20" s="1"/>
  <c r="X29" i="11"/>
  <c r="F19"/>
  <c r="F42" s="1"/>
  <c r="F67" s="1"/>
  <c r="L9" i="20" s="1"/>
  <c r="L24" i="11"/>
  <c r="L47" s="1"/>
  <c r="L72" s="1"/>
  <c r="R14" i="20" s="1"/>
  <c r="G18" i="11"/>
  <c r="G41" s="1"/>
  <c r="G66" s="1"/>
  <c r="M8" i="20" s="1"/>
  <c r="O16" i="11"/>
  <c r="O39" s="1"/>
  <c r="O64" s="1"/>
  <c r="O24"/>
  <c r="O47" s="1"/>
  <c r="O72" s="1"/>
  <c r="U14" i="20" s="1"/>
  <c r="T28" i="11"/>
  <c r="T51" s="1"/>
  <c r="T76" s="1"/>
  <c r="Z18" i="20" s="1"/>
  <c r="L29" i="11"/>
  <c r="L52" s="1"/>
  <c r="L77" s="1"/>
  <c r="R19" i="20" s="1"/>
  <c r="W30" i="11"/>
  <c r="W53" s="1"/>
  <c r="W78" s="1"/>
  <c r="AC20" i="20" s="1"/>
  <c r="T20" i="11"/>
  <c r="T43" s="1"/>
  <c r="T68" s="1"/>
  <c r="Z10" i="20" s="1"/>
  <c r="J21" i="11"/>
  <c r="J44" s="1"/>
  <c r="J69" s="1"/>
  <c r="P11" i="20" s="1"/>
  <c r="R29" i="11"/>
  <c r="R52" s="1"/>
  <c r="R77" s="1"/>
  <c r="X19" i="20" s="1"/>
  <c r="F20" i="11"/>
  <c r="F43" s="1"/>
  <c r="F68" s="1"/>
  <c r="L10" i="20" s="1"/>
  <c r="L15" i="11"/>
  <c r="L38" s="1"/>
  <c r="L63" s="1"/>
  <c r="R5" i="20" s="1"/>
  <c r="P16" i="11"/>
  <c r="P39" s="1"/>
  <c r="P64" s="1"/>
  <c r="I29"/>
  <c r="I52" s="1"/>
  <c r="I77" s="1"/>
  <c r="O19" i="20" s="1"/>
  <c r="F13" i="11"/>
  <c r="K30"/>
  <c r="K53" s="1"/>
  <c r="K78" s="1"/>
  <c r="Q20" i="20" s="1"/>
  <c r="R13" i="11"/>
  <c r="N14"/>
  <c r="N37" s="1"/>
  <c r="N62" s="1"/>
  <c r="T4" i="20" s="1"/>
  <c r="V16" i="11"/>
  <c r="V39" s="1"/>
  <c r="V64" s="1"/>
  <c r="S25"/>
  <c r="S48" s="1"/>
  <c r="S73" s="1"/>
  <c r="Y15" i="20" s="1"/>
  <c r="H21" i="11"/>
  <c r="H44" s="1"/>
  <c r="H69" s="1"/>
  <c r="N11" i="20" s="1"/>
  <c r="K26" i="11"/>
  <c r="K49" s="1"/>
  <c r="K74" s="1"/>
  <c r="Q16" i="20" s="1"/>
  <c r="U26" i="11"/>
  <c r="U49" s="1"/>
  <c r="U74" s="1"/>
  <c r="AA16" i="20" s="1"/>
  <c r="O20" i="11"/>
  <c r="O43" s="1"/>
  <c r="O68" s="1"/>
  <c r="U10" i="20" s="1"/>
  <c r="S16" i="11"/>
  <c r="S39" s="1"/>
  <c r="S64" s="1"/>
  <c r="F27"/>
  <c r="F50" s="1"/>
  <c r="F75" s="1"/>
  <c r="L17" i="20" s="1"/>
  <c r="T30" i="11"/>
  <c r="T53" s="1"/>
  <c r="T78" s="1"/>
  <c r="Z20" i="20" s="1"/>
  <c r="J13" i="11"/>
  <c r="P13"/>
  <c r="F30"/>
  <c r="F53" s="1"/>
  <c r="F78" s="1"/>
  <c r="L20" i="20" s="1"/>
  <c r="U27" i="11"/>
  <c r="U50" s="1"/>
  <c r="U75" s="1"/>
  <c r="AA17" i="20" s="1"/>
  <c r="R20" i="11"/>
  <c r="R43" s="1"/>
  <c r="R68" s="1"/>
  <c r="X10" i="20" s="1"/>
  <c r="V21" i="11"/>
  <c r="V44" s="1"/>
  <c r="V69" s="1"/>
  <c r="AB11" i="20" s="1"/>
  <c r="J18" i="11"/>
  <c r="J41" s="1"/>
  <c r="J66" s="1"/>
  <c r="P8" i="20" s="1"/>
  <c r="F16" i="11"/>
  <c r="F39" s="1"/>
  <c r="F64" s="1"/>
  <c r="K16"/>
  <c r="K39" s="1"/>
  <c r="K64" s="1"/>
  <c r="U15"/>
  <c r="U38" s="1"/>
  <c r="U63" s="1"/>
  <c r="AA5" i="20" s="1"/>
  <c r="G14" i="11"/>
  <c r="G37" s="1"/>
  <c r="G62" s="1"/>
  <c r="M4" i="20" s="1"/>
  <c r="W26" i="11"/>
  <c r="W49" s="1"/>
  <c r="W74" s="1"/>
  <c r="AC16" i="20" s="1"/>
  <c r="X24" i="11"/>
  <c r="V26"/>
  <c r="V49" s="1"/>
  <c r="V74" s="1"/>
  <c r="AB16" i="20" s="1"/>
  <c r="V28" i="11"/>
  <c r="V51" s="1"/>
  <c r="V76" s="1"/>
  <c r="AB18" i="20" s="1"/>
  <c r="X18" i="11"/>
  <c r="F21"/>
  <c r="F44" s="1"/>
  <c r="F69" s="1"/>
  <c r="L11" i="20" s="1"/>
  <c r="I23" i="11"/>
  <c r="I46" s="1"/>
  <c r="I71" s="1"/>
  <c r="O13" i="20" s="1"/>
  <c r="N28" i="11"/>
  <c r="N51" s="1"/>
  <c r="N76" s="1"/>
  <c r="T18" i="20" s="1"/>
  <c r="I24" i="11"/>
  <c r="I47" s="1"/>
  <c r="I72" s="1"/>
  <c r="O14" i="20" s="1"/>
  <c r="I18" i="11"/>
  <c r="I41" s="1"/>
  <c r="I66" s="1"/>
  <c r="O8" i="20" s="1"/>
  <c r="X28" i="11"/>
  <c r="R16"/>
  <c r="R39" s="1"/>
  <c r="R64" s="1"/>
  <c r="H28"/>
  <c r="H51" s="1"/>
  <c r="H76" s="1"/>
  <c r="N18" i="20" s="1"/>
  <c r="G27" i="11"/>
  <c r="G50" s="1"/>
  <c r="G75" s="1"/>
  <c r="M17" i="20" s="1"/>
  <c r="P14" i="11"/>
  <c r="P37" s="1"/>
  <c r="P62" s="1"/>
  <c r="V4" i="20" s="1"/>
  <c r="K17" i="11"/>
  <c r="K40" s="1"/>
  <c r="K65" s="1"/>
  <c r="Q7" i="20" s="1"/>
  <c r="L30" i="11"/>
  <c r="L53" s="1"/>
  <c r="L78" s="1"/>
  <c r="R20" i="20" s="1"/>
  <c r="K22" i="11"/>
  <c r="K45" s="1"/>
  <c r="K70" s="1"/>
  <c r="Q12" i="20" s="1"/>
  <c r="R17" i="11"/>
  <c r="R40" s="1"/>
  <c r="R65" s="1"/>
  <c r="X7" i="20" s="1"/>
  <c r="J14" i="11"/>
  <c r="J37" s="1"/>
  <c r="J62" s="1"/>
  <c r="P4" i="20" s="1"/>
  <c r="W18" i="11"/>
  <c r="W41" s="1"/>
  <c r="W66" s="1"/>
  <c r="AC8" i="20" s="1"/>
  <c r="J22" i="11"/>
  <c r="J45" s="1"/>
  <c r="J70" s="1"/>
  <c r="P12" i="20" s="1"/>
  <c r="Q14" i="11"/>
  <c r="Q37" s="1"/>
  <c r="Q62" s="1"/>
  <c r="W4" i="20" s="1"/>
  <c r="P26" i="11"/>
  <c r="P49" s="1"/>
  <c r="P74" s="1"/>
  <c r="V16" i="20" s="1"/>
  <c r="P15" i="11"/>
  <c r="P38" s="1"/>
  <c r="P63" s="1"/>
  <c r="V5" i="20" s="1"/>
  <c r="W27" i="11"/>
  <c r="W50" s="1"/>
  <c r="W75" s="1"/>
  <c r="AC17" i="20" s="1"/>
  <c r="R30" i="11"/>
  <c r="R53" s="1"/>
  <c r="R78" s="1"/>
  <c r="X20" i="20" s="1"/>
  <c r="L17" i="11"/>
  <c r="L40" s="1"/>
  <c r="L65" s="1"/>
  <c r="R7" i="20" s="1"/>
  <c r="J19" i="11"/>
  <c r="J42" s="1"/>
  <c r="J67" s="1"/>
  <c r="P9" i="20" s="1"/>
  <c r="M23" i="11"/>
  <c r="M46" s="1"/>
  <c r="M71" s="1"/>
  <c r="S13" i="20" s="1"/>
  <c r="Q13" i="11"/>
  <c r="P27"/>
  <c r="P50" s="1"/>
  <c r="P75" s="1"/>
  <c r="V17" i="20" s="1"/>
  <c r="N18" i="11"/>
  <c r="N41" s="1"/>
  <c r="N66" s="1"/>
  <c r="T8" i="20" s="1"/>
  <c r="V22" i="11"/>
  <c r="V45" s="1"/>
  <c r="V70" s="1"/>
  <c r="AB12" i="20" s="1"/>
  <c r="P19" i="11"/>
  <c r="P42" s="1"/>
  <c r="P67" s="1"/>
  <c r="V9" i="20" s="1"/>
  <c r="U16" i="11"/>
  <c r="U39" s="1"/>
  <c r="U64" s="1"/>
  <c r="F22"/>
  <c r="F45" s="1"/>
  <c r="F70" s="1"/>
  <c r="L12" i="20" s="1"/>
  <c r="S13" i="11"/>
  <c r="U24"/>
  <c r="U47" s="1"/>
  <c r="U72" s="1"/>
  <c r="AA14" i="20" s="1"/>
  <c r="O19" i="11"/>
  <c r="O42" s="1"/>
  <c r="O67" s="1"/>
  <c r="U9" i="20" s="1"/>
  <c r="W16" i="11"/>
  <c r="W39" s="1"/>
  <c r="W64" s="1"/>
  <c r="I15"/>
  <c r="I38" s="1"/>
  <c r="I63" s="1"/>
  <c r="O5" i="20" s="1"/>
  <c r="N27" i="11"/>
  <c r="N50" s="1"/>
  <c r="N75" s="1"/>
  <c r="T17" i="20" s="1"/>
  <c r="K13" i="11"/>
  <c r="L20"/>
  <c r="L43" s="1"/>
  <c r="L68" s="1"/>
  <c r="R10" i="20" s="1"/>
  <c r="W13" i="11"/>
  <c r="Q23"/>
  <c r="Q46" s="1"/>
  <c r="Q71" s="1"/>
  <c r="W13" i="20" s="1"/>
  <c r="N19" i="11"/>
  <c r="N42" s="1"/>
  <c r="N67" s="1"/>
  <c r="T9" i="20" s="1"/>
  <c r="W21" i="11"/>
  <c r="W44" s="1"/>
  <c r="W69" s="1"/>
  <c r="AC11" i="20" s="1"/>
  <c r="V14" i="11"/>
  <c r="V37" s="1"/>
  <c r="V62" s="1"/>
  <c r="AB4" i="20" s="1"/>
  <c r="M19" i="11"/>
  <c r="M42" s="1"/>
  <c r="M67" s="1"/>
  <c r="S9" i="20" s="1"/>
  <c r="Q28" i="11"/>
  <c r="Q51" s="1"/>
  <c r="Q76" s="1"/>
  <c r="W18" i="20" s="1"/>
  <c r="Q30" i="11"/>
  <c r="Q53" s="1"/>
  <c r="Q78" s="1"/>
  <c r="W20" i="20" s="1"/>
  <c r="G23" i="11"/>
  <c r="G46" s="1"/>
  <c r="G71" s="1"/>
  <c r="M13" i="20" s="1"/>
  <c r="H16" i="11"/>
  <c r="H39" s="1"/>
  <c r="H64" s="1"/>
  <c r="X26"/>
  <c r="Q25"/>
  <c r="Q48" s="1"/>
  <c r="Q73" s="1"/>
  <c r="W15" i="20" s="1"/>
  <c r="N20" i="11"/>
  <c r="N43" s="1"/>
  <c r="N68" s="1"/>
  <c r="T10" i="20" s="1"/>
  <c r="S17" i="11"/>
  <c r="S40" s="1"/>
  <c r="S65" s="1"/>
  <c r="Y7" i="20" s="1"/>
  <c r="O17" i="11"/>
  <c r="O40" s="1"/>
  <c r="O65" s="1"/>
  <c r="U7" i="20" s="1"/>
  <c r="H24" i="11"/>
  <c r="H47" s="1"/>
  <c r="H72" s="1"/>
  <c r="N14" i="20" s="1"/>
  <c r="M24" i="11"/>
  <c r="M47" s="1"/>
  <c r="M72" s="1"/>
  <c r="S14" i="20" s="1"/>
  <c r="I16" i="11"/>
  <c r="I39" s="1"/>
  <c r="I64" s="1"/>
  <c r="L28"/>
  <c r="L51" s="1"/>
  <c r="L76" s="1"/>
  <c r="R18" i="20" s="1"/>
  <c r="H30" i="11"/>
  <c r="H53" s="1"/>
  <c r="H78" s="1"/>
  <c r="N20" i="20" s="1"/>
  <c r="R21" i="11"/>
  <c r="R44" s="1"/>
  <c r="R69" s="1"/>
  <c r="X11" i="20" s="1"/>
  <c r="J15" i="11"/>
  <c r="J38" s="1"/>
  <c r="J63" s="1"/>
  <c r="P5" i="20" s="1"/>
  <c r="U23" i="11"/>
  <c r="U46" s="1"/>
  <c r="U71" s="1"/>
  <c r="AA13" i="20" s="1"/>
  <c r="F18" i="11"/>
  <c r="F41" s="1"/>
  <c r="F66" s="1"/>
  <c r="L8" i="20" s="1"/>
  <c r="R19" i="11"/>
  <c r="R42" s="1"/>
  <c r="R67" s="1"/>
  <c r="X9" i="20" s="1"/>
  <c r="G24" i="11"/>
  <c r="G47" s="1"/>
  <c r="G72" s="1"/>
  <c r="M14" i="20" s="1"/>
  <c r="I20" i="11"/>
  <c r="I43" s="1"/>
  <c r="I68" s="1"/>
  <c r="O10" i="20" s="1"/>
  <c r="X15" i="11"/>
  <c r="N15"/>
  <c r="N38" s="1"/>
  <c r="N63" s="1"/>
  <c r="T5" i="20" s="1"/>
  <c r="R24" i="11"/>
  <c r="R47" s="1"/>
  <c r="R72" s="1"/>
  <c r="X14" i="20" s="1"/>
  <c r="O21" i="11"/>
  <c r="O44" s="1"/>
  <c r="O69" s="1"/>
  <c r="U11" i="20" s="1"/>
  <c r="I26" i="11"/>
  <c r="I49" s="1"/>
  <c r="I74" s="1"/>
  <c r="O16" i="20" s="1"/>
  <c r="G25" i="11"/>
  <c r="G48" s="1"/>
  <c r="G73" s="1"/>
  <c r="M15" i="20" s="1"/>
  <c r="U13" i="11"/>
  <c r="W14"/>
  <c r="W37" s="1"/>
  <c r="W62" s="1"/>
  <c r="AC4" i="20" s="1"/>
  <c r="J17" i="11"/>
  <c r="J40" s="1"/>
  <c r="J65" s="1"/>
  <c r="P7" i="20" s="1"/>
  <c r="L23" i="11"/>
  <c r="L46" s="1"/>
  <c r="L71" s="1"/>
  <c r="R13" i="20" s="1"/>
  <c r="Q29" i="11"/>
  <c r="Q52" s="1"/>
  <c r="Q77" s="1"/>
  <c r="W19" i="20" s="1"/>
  <c r="U28" i="11"/>
  <c r="U51" s="1"/>
  <c r="U76" s="1"/>
  <c r="AA18" i="20" s="1"/>
  <c r="F24" i="11"/>
  <c r="F47" s="1"/>
  <c r="F72" s="1"/>
  <c r="L14" i="20" s="1"/>
  <c r="M18" i="11"/>
  <c r="M41" s="1"/>
  <c r="M66" s="1"/>
  <c r="S8" i="20" s="1"/>
  <c r="R18" i="11"/>
  <c r="R41" s="1"/>
  <c r="R66" s="1"/>
  <c r="X8" i="20" s="1"/>
  <c r="G26" i="11"/>
  <c r="G49" s="1"/>
  <c r="G74" s="1"/>
  <c r="M16" i="20" s="1"/>
  <c r="M28" i="11"/>
  <c r="M51" s="1"/>
  <c r="M76" s="1"/>
  <c r="S18" i="20" s="1"/>
  <c r="O29" i="11"/>
  <c r="O52" s="1"/>
  <c r="O77" s="1"/>
  <c r="U19" i="20" s="1"/>
  <c r="O23" i="11"/>
  <c r="O46" s="1"/>
  <c r="O71" s="1"/>
  <c r="U13" i="20" s="1"/>
  <c r="M15" i="11"/>
  <c r="M38" s="1"/>
  <c r="M63" s="1"/>
  <c r="S5" i="20" s="1"/>
  <c r="U20" i="11"/>
  <c r="U43" s="1"/>
  <c r="U68" s="1"/>
  <c r="AA10" i="20" s="1"/>
  <c r="F17" i="11"/>
  <c r="F40" s="1"/>
  <c r="F65" s="1"/>
  <c r="L7" i="20" s="1"/>
  <c r="M13" i="11"/>
  <c r="U14"/>
  <c r="U37" s="1"/>
  <c r="U62" s="1"/>
  <c r="AA4" i="20" s="1"/>
  <c r="N16" i="11"/>
  <c r="N39" s="1"/>
  <c r="N64" s="1"/>
  <c r="P21"/>
  <c r="P44" s="1"/>
  <c r="P69" s="1"/>
  <c r="V11" i="20" s="1"/>
  <c r="H23" i="11"/>
  <c r="H46" s="1"/>
  <c r="H71" s="1"/>
  <c r="N13" i="20" s="1"/>
  <c r="V24" i="11"/>
  <c r="V47" s="1"/>
  <c r="V72" s="1"/>
  <c r="AB14" i="20" s="1"/>
  <c r="U29" i="11"/>
  <c r="U52" s="1"/>
  <c r="U77" s="1"/>
  <c r="AA19" i="20" s="1"/>
  <c r="S27" i="11"/>
  <c r="S50" s="1"/>
  <c r="S75" s="1"/>
  <c r="Y17" i="20" s="1"/>
  <c r="P30" i="11"/>
  <c r="P53" s="1"/>
  <c r="P78" s="1"/>
  <c r="V20" i="20" s="1"/>
  <c r="M26" i="11"/>
  <c r="M49" s="1"/>
  <c r="M74" s="1"/>
  <c r="S16" i="20" s="1"/>
  <c r="N29" i="11"/>
  <c r="N52" s="1"/>
  <c r="N77" s="1"/>
  <c r="T19" i="20" s="1"/>
  <c r="K15" i="11"/>
  <c r="K38" s="1"/>
  <c r="K63" s="1"/>
  <c r="Q5" i="20" s="1"/>
  <c r="H20" i="11"/>
  <c r="H43" s="1"/>
  <c r="H68" s="1"/>
  <c r="N10" i="20" s="1"/>
  <c r="P25" i="11"/>
  <c r="P48" s="1"/>
  <c r="P73" s="1"/>
  <c r="V15" i="20" s="1"/>
  <c r="X23" i="11"/>
  <c r="S15"/>
  <c r="S38" s="1"/>
  <c r="S63" s="1"/>
  <c r="Y5" i="20" s="1"/>
  <c r="H27" i="11"/>
  <c r="H50" s="1"/>
  <c r="H75" s="1"/>
  <c r="N17" i="20" s="1"/>
  <c r="W19" i="11"/>
  <c r="W42" s="1"/>
  <c r="W67" s="1"/>
  <c r="AC9" i="20" s="1"/>
  <c r="I27" i="11"/>
  <c r="I50" s="1"/>
  <c r="I75" s="1"/>
  <c r="O17" i="20" s="1"/>
  <c r="S30" i="11"/>
  <c r="S53" s="1"/>
  <c r="S78" s="1"/>
  <c r="Y20" i="20" s="1"/>
  <c r="X30" i="11"/>
  <c r="K14"/>
  <c r="K37" s="1"/>
  <c r="K62" s="1"/>
  <c r="Q4" i="20" s="1"/>
  <c r="U17" i="11"/>
  <c r="U40" s="1"/>
  <c r="U65" s="1"/>
  <c r="AA7" i="20" s="1"/>
  <c r="G29" i="11"/>
  <c r="G52" s="1"/>
  <c r="G77" s="1"/>
  <c r="M19" i="20" s="1"/>
  <c r="H19" i="11"/>
  <c r="H42" s="1"/>
  <c r="H67" s="1"/>
  <c r="N9" i="20" s="1"/>
  <c r="X19" i="11"/>
  <c r="T21"/>
  <c r="T44" s="1"/>
  <c r="T69" s="1"/>
  <c r="Z11" i="20" s="1"/>
  <c r="J24" i="11"/>
  <c r="J47" s="1"/>
  <c r="J72" s="1"/>
  <c r="P14" i="20" s="1"/>
  <c r="X22" i="11"/>
  <c r="G28"/>
  <c r="G51" s="1"/>
  <c r="G76" s="1"/>
  <c r="M18" i="20" s="1"/>
  <c r="V27" i="11"/>
  <c r="V50" s="1"/>
  <c r="V75" s="1"/>
  <c r="AB17" i="20" s="1"/>
  <c r="O26" i="11"/>
  <c r="O49" s="1"/>
  <c r="O74" s="1"/>
  <c r="U16" i="20" s="1"/>
  <c r="S22" i="11"/>
  <c r="S45" s="1"/>
  <c r="S70" s="1"/>
  <c r="Y12" i="20" s="1"/>
  <c r="O28" i="11"/>
  <c r="O51" s="1"/>
  <c r="O76" s="1"/>
  <c r="U18" i="20" s="1"/>
  <c r="H22" i="11"/>
  <c r="H45" s="1"/>
  <c r="H70" s="1"/>
  <c r="N12" i="20" s="1"/>
  <c r="V23" i="11"/>
  <c r="V46" s="1"/>
  <c r="V71" s="1"/>
  <c r="AB13" i="20" s="1"/>
  <c r="I22" i="11"/>
  <c r="I45" s="1"/>
  <c r="I70" s="1"/>
  <c r="O12" i="20" s="1"/>
  <c r="R14" i="11"/>
  <c r="R37" s="1"/>
  <c r="R62" s="1"/>
  <c r="X4" i="20" s="1"/>
  <c r="I17" i="11"/>
  <c r="I40" s="1"/>
  <c r="I65" s="1"/>
  <c r="O7" i="20" s="1"/>
  <c r="O22" i="11"/>
  <c r="O45" s="1"/>
  <c r="O70" s="1"/>
  <c r="U12" i="20" s="1"/>
  <c r="G13" i="11"/>
  <c r="N26"/>
  <c r="N49" s="1"/>
  <c r="N74" s="1"/>
  <c r="T16" i="20" s="1"/>
  <c r="Q27" i="11"/>
  <c r="Q50" s="1"/>
  <c r="Q75" s="1"/>
  <c r="W17" i="20" s="1"/>
  <c r="O15" i="11"/>
  <c r="O38" s="1"/>
  <c r="O63" s="1"/>
  <c r="U5" i="20" s="1"/>
  <c r="O30" i="11"/>
  <c r="O53" s="1"/>
  <c r="O78" s="1"/>
  <c r="U20" i="20" s="1"/>
  <c r="M30" i="11"/>
  <c r="M53" s="1"/>
  <c r="M78" s="1"/>
  <c r="S20" i="20" s="1"/>
  <c r="H15" i="11"/>
  <c r="H38" s="1"/>
  <c r="H63" s="1"/>
  <c r="N5" i="20" s="1"/>
  <c r="H17" i="11"/>
  <c r="H40" s="1"/>
  <c r="H65" s="1"/>
  <c r="N7" i="20" s="1"/>
  <c r="S18" i="11"/>
  <c r="S41" s="1"/>
  <c r="S66" s="1"/>
  <c r="Y8" i="20" s="1"/>
  <c r="P29" i="11"/>
  <c r="P52" s="1"/>
  <c r="P77" s="1"/>
  <c r="V19" i="20" s="1"/>
  <c r="G17" i="11"/>
  <c r="G40" s="1"/>
  <c r="G65" s="1"/>
  <c r="M7" i="20" s="1"/>
  <c r="T19" i="11"/>
  <c r="T42" s="1"/>
  <c r="T67" s="1"/>
  <c r="Z9" i="20" s="1"/>
  <c r="O25" i="11"/>
  <c r="O48" s="1"/>
  <c r="O73" s="1"/>
  <c r="U15" i="20" s="1"/>
  <c r="X17" i="11"/>
  <c r="K21"/>
  <c r="K44" s="1"/>
  <c r="K69" s="1"/>
  <c r="Q11" i="20" s="1"/>
  <c r="L13" i="11"/>
  <c r="O13"/>
  <c r="Q20"/>
  <c r="Q43" s="1"/>
  <c r="Q68" s="1"/>
  <c r="W10" i="20" s="1"/>
  <c r="W25" i="11"/>
  <c r="W48" s="1"/>
  <c r="W73" s="1"/>
  <c r="AC15" i="20" s="1"/>
  <c r="W23" i="11"/>
  <c r="W46" s="1"/>
  <c r="W71" s="1"/>
  <c r="AC13" i="20" s="1"/>
  <c r="T15" i="11"/>
  <c r="T38" s="1"/>
  <c r="T63" s="1"/>
  <c r="Z5" i="20" s="1"/>
  <c r="E17" i="11"/>
  <c r="E40" s="1"/>
  <c r="E20"/>
  <c r="E43" s="1"/>
  <c r="E22"/>
  <c r="E45" s="1"/>
  <c r="E19"/>
  <c r="E42" s="1"/>
  <c r="E27"/>
  <c r="E50" s="1"/>
  <c r="E16"/>
  <c r="E39" s="1"/>
  <c r="E30"/>
  <c r="E53" s="1"/>
  <c r="E25"/>
  <c r="E48" s="1"/>
  <c r="E24"/>
  <c r="E47" s="1"/>
  <c r="E28"/>
  <c r="E51" s="1"/>
  <c r="E15"/>
  <c r="E38" s="1"/>
  <c r="E14"/>
  <c r="E37" s="1"/>
  <c r="E23"/>
  <c r="E46" s="1"/>
  <c r="E18"/>
  <c r="E41" s="1"/>
  <c r="E21"/>
  <c r="E44" s="1"/>
  <c r="E29"/>
  <c r="E52" s="1"/>
  <c r="E26"/>
  <c r="E49" s="1"/>
  <c r="E13"/>
  <c r="L31" l="1"/>
  <c r="L36"/>
  <c r="L61" s="1"/>
  <c r="L80" s="1"/>
  <c r="W31"/>
  <c r="W36"/>
  <c r="W61" s="1"/>
  <c r="W80" s="1"/>
  <c r="S31"/>
  <c r="S36"/>
  <c r="S61" s="1"/>
  <c r="S80" s="1"/>
  <c r="Y47"/>
  <c r="Y72" s="1"/>
  <c r="AE14" i="20" s="1"/>
  <c r="X47" i="11"/>
  <c r="X72" s="1"/>
  <c r="AD14" i="20" s="1"/>
  <c r="Q6"/>
  <c r="K87" i="11"/>
  <c r="K124" s="1"/>
  <c r="K89"/>
  <c r="K126" s="1"/>
  <c r="K88"/>
  <c r="K92"/>
  <c r="K90"/>
  <c r="K91"/>
  <c r="J31"/>
  <c r="J36"/>
  <c r="J61" s="1"/>
  <c r="J80" s="1"/>
  <c r="Y43"/>
  <c r="Y68" s="1"/>
  <c r="AE10" i="20" s="1"/>
  <c r="X43" i="11"/>
  <c r="X68" s="1"/>
  <c r="AD10" i="20" s="1"/>
  <c r="Y50" i="11"/>
  <c r="Y75" s="1"/>
  <c r="AE17" i="20" s="1"/>
  <c r="X50" i="11"/>
  <c r="X75" s="1"/>
  <c r="AD17" i="20" s="1"/>
  <c r="Y37" i="11"/>
  <c r="Y62" s="1"/>
  <c r="AE4" i="20" s="1"/>
  <c r="X37" i="11"/>
  <c r="X62" s="1"/>
  <c r="AD4" i="20" s="1"/>
  <c r="Y39" i="11"/>
  <c r="Y64" s="1"/>
  <c r="X39"/>
  <c r="X64" s="1"/>
  <c r="O31"/>
  <c r="O36"/>
  <c r="O61" s="1"/>
  <c r="O80" s="1"/>
  <c r="G31"/>
  <c r="G36"/>
  <c r="G61" s="1"/>
  <c r="G80" s="1"/>
  <c r="Y45"/>
  <c r="Y70" s="1"/>
  <c r="AE12" i="20" s="1"/>
  <c r="X45" i="11"/>
  <c r="X70" s="1"/>
  <c r="AD12" i="20" s="1"/>
  <c r="Y53" i="11"/>
  <c r="Y78" s="1"/>
  <c r="AE20" i="20" s="1"/>
  <c r="X53" i="11"/>
  <c r="X78" s="1"/>
  <c r="AD20" i="20" s="1"/>
  <c r="M31" i="11"/>
  <c r="M36"/>
  <c r="M61" s="1"/>
  <c r="M80" s="1"/>
  <c r="U31"/>
  <c r="U36"/>
  <c r="U61" s="1"/>
  <c r="U80" s="1"/>
  <c r="O6" i="20"/>
  <c r="I89" i="11"/>
  <c r="I90"/>
  <c r="I87"/>
  <c r="I124" s="1"/>
  <c r="I92"/>
  <c r="I88"/>
  <c r="I91"/>
  <c r="I128" s="1"/>
  <c r="N6" i="20"/>
  <c r="H89" i="11"/>
  <c r="H90"/>
  <c r="H87"/>
  <c r="H124" s="1"/>
  <c r="H91"/>
  <c r="H88"/>
  <c r="H92"/>
  <c r="Q31"/>
  <c r="Q36"/>
  <c r="Q61" s="1"/>
  <c r="Q80" s="1"/>
  <c r="Y51"/>
  <c r="Y76" s="1"/>
  <c r="AE18" i="20" s="1"/>
  <c r="X51" i="11"/>
  <c r="X76" s="1"/>
  <c r="AD18" i="20" s="1"/>
  <c r="P31" i="11"/>
  <c r="P36"/>
  <c r="P61" s="1"/>
  <c r="P80" s="1"/>
  <c r="Y6" i="20"/>
  <c r="S89" i="11"/>
  <c r="S87"/>
  <c r="S124" s="1"/>
  <c r="S91"/>
  <c r="S88"/>
  <c r="S90"/>
  <c r="S127" s="1"/>
  <c r="S92"/>
  <c r="R31"/>
  <c r="R36"/>
  <c r="R61" s="1"/>
  <c r="R80" s="1"/>
  <c r="V6" i="20"/>
  <c r="P88" i="11"/>
  <c r="P92"/>
  <c r="P89"/>
  <c r="P90"/>
  <c r="P87"/>
  <c r="P124" s="1"/>
  <c r="P91"/>
  <c r="W6" i="20"/>
  <c r="Q90" i="11"/>
  <c r="Q127" s="1"/>
  <c r="Q89"/>
  <c r="Q92"/>
  <c r="Q87"/>
  <c r="Q124" s="1"/>
  <c r="Q88"/>
  <c r="Q91"/>
  <c r="Y36"/>
  <c r="Y61" s="1"/>
  <c r="X31"/>
  <c r="X36"/>
  <c r="X61" s="1"/>
  <c r="S6" i="20"/>
  <c r="M90" i="11"/>
  <c r="M91"/>
  <c r="M88"/>
  <c r="M125" s="1"/>
  <c r="M87"/>
  <c r="M124" s="1"/>
  <c r="M92"/>
  <c r="M89"/>
  <c r="T31"/>
  <c r="T36"/>
  <c r="T61" s="1"/>
  <c r="T80" s="1"/>
  <c r="I31"/>
  <c r="I36"/>
  <c r="I61" s="1"/>
  <c r="I80" s="1"/>
  <c r="Y48"/>
  <c r="Y73" s="1"/>
  <c r="AE15" i="20" s="1"/>
  <c r="X48" i="11"/>
  <c r="X73" s="1"/>
  <c r="AD15" i="20" s="1"/>
  <c r="Y40" i="11"/>
  <c r="Y65" s="1"/>
  <c r="AE7" i="20" s="1"/>
  <c r="X40" i="11"/>
  <c r="X65" s="1"/>
  <c r="AD7" i="20" s="1"/>
  <c r="Y42" i="11"/>
  <c r="Y67" s="1"/>
  <c r="AE9" i="20" s="1"/>
  <c r="X42" i="11"/>
  <c r="X67" s="1"/>
  <c r="AD9" i="20" s="1"/>
  <c r="Y49" i="11"/>
  <c r="Y74" s="1"/>
  <c r="AE16" i="20" s="1"/>
  <c r="X49" i="11"/>
  <c r="X74" s="1"/>
  <c r="AD16" i="20" s="1"/>
  <c r="K31" i="11"/>
  <c r="K36"/>
  <c r="K61" s="1"/>
  <c r="K80" s="1"/>
  <c r="AA6" i="20"/>
  <c r="U91" i="11"/>
  <c r="U87"/>
  <c r="U124" s="1"/>
  <c r="U90"/>
  <c r="U89"/>
  <c r="U88"/>
  <c r="U92"/>
  <c r="X6" i="20"/>
  <c r="R91" i="11"/>
  <c r="R90"/>
  <c r="R89"/>
  <c r="R87"/>
  <c r="R124" s="1"/>
  <c r="R88"/>
  <c r="R92"/>
  <c r="R6" i="20"/>
  <c r="L89" i="11"/>
  <c r="L92"/>
  <c r="L87"/>
  <c r="L124" s="1"/>
  <c r="L90"/>
  <c r="L127" s="1"/>
  <c r="L91"/>
  <c r="L88"/>
  <c r="H31"/>
  <c r="H36"/>
  <c r="H61" s="1"/>
  <c r="H80" s="1"/>
  <c r="Y44"/>
  <c r="Y69" s="1"/>
  <c r="AE11" i="20" s="1"/>
  <c r="X44" i="11"/>
  <c r="X69" s="1"/>
  <c r="AD11" i="20" s="1"/>
  <c r="V31" i="11"/>
  <c r="V36"/>
  <c r="V61" s="1"/>
  <c r="V80" s="1"/>
  <c r="Y46"/>
  <c r="Y71" s="1"/>
  <c r="AE13" i="20" s="1"/>
  <c r="X46" i="11"/>
  <c r="X71" s="1"/>
  <c r="AD13" i="20" s="1"/>
  <c r="T6"/>
  <c r="N90" i="11"/>
  <c r="N92"/>
  <c r="N89"/>
  <c r="N87"/>
  <c r="N124" s="1"/>
  <c r="N88"/>
  <c r="N91"/>
  <c r="Y38"/>
  <c r="Y63" s="1"/>
  <c r="AE5" i="20" s="1"/>
  <c r="X38" i="11"/>
  <c r="X63" s="1"/>
  <c r="AD5" i="20" s="1"/>
  <c r="AC6"/>
  <c r="W91" i="11"/>
  <c r="W89"/>
  <c r="W87"/>
  <c r="W124" s="1"/>
  <c r="W90"/>
  <c r="W88"/>
  <c r="W92"/>
  <c r="Y41"/>
  <c r="Y66" s="1"/>
  <c r="AE8" i="20" s="1"/>
  <c r="X41" i="11"/>
  <c r="X66" s="1"/>
  <c r="AD8" i="20" s="1"/>
  <c r="L6"/>
  <c r="F90" i="11"/>
  <c r="F91"/>
  <c r="F89"/>
  <c r="F88"/>
  <c r="F92"/>
  <c r="F87"/>
  <c r="F124" s="1"/>
  <c r="AB6" i="20"/>
  <c r="V90" i="11"/>
  <c r="V89"/>
  <c r="V88"/>
  <c r="V91"/>
  <c r="V128" s="1"/>
  <c r="V87"/>
  <c r="V124" s="1"/>
  <c r="V92"/>
  <c r="F31"/>
  <c r="F36"/>
  <c r="F61" s="1"/>
  <c r="F80" s="1"/>
  <c r="U6" i="20"/>
  <c r="O87" i="11"/>
  <c r="O124" s="1"/>
  <c r="O91"/>
  <c r="O89"/>
  <c r="O90"/>
  <c r="O88"/>
  <c r="O92"/>
  <c r="O129" s="1"/>
  <c r="Y52"/>
  <c r="Y77" s="1"/>
  <c r="AE19" i="20" s="1"/>
  <c r="X52" i="11"/>
  <c r="X77" s="1"/>
  <c r="AD19" i="20" s="1"/>
  <c r="M6"/>
  <c r="G89" i="11"/>
  <c r="G88"/>
  <c r="G91"/>
  <c r="G90"/>
  <c r="G92"/>
  <c r="G87"/>
  <c r="G124" s="1"/>
  <c r="N31"/>
  <c r="N36"/>
  <c r="N61" s="1"/>
  <c r="N80" s="1"/>
  <c r="P6" i="20"/>
  <c r="J91" i="11"/>
  <c r="J87"/>
  <c r="J124" s="1"/>
  <c r="J90"/>
  <c r="J89"/>
  <c r="J88"/>
  <c r="J125" s="1"/>
  <c r="J92"/>
  <c r="Z6" i="20"/>
  <c r="T88" i="11"/>
  <c r="T87"/>
  <c r="T124" s="1"/>
  <c r="T90"/>
  <c r="T92"/>
  <c r="T91"/>
  <c r="T89"/>
  <c r="E74"/>
  <c r="K16" i="20" s="1"/>
  <c r="Z40" i="11"/>
  <c r="E65"/>
  <c r="K7" i="20" s="1"/>
  <c r="E66" i="11"/>
  <c r="K8" i="20" s="1"/>
  <c r="E76" i="11"/>
  <c r="K18" i="20" s="1"/>
  <c r="E64" i="11"/>
  <c r="E68"/>
  <c r="K10" i="20" s="1"/>
  <c r="E75" i="11"/>
  <c r="K17" i="20" s="1"/>
  <c r="E69" i="11"/>
  <c r="K11" i="20" s="1"/>
  <c r="E63" i="11"/>
  <c r="K5" i="20" s="1"/>
  <c r="E78" i="11"/>
  <c r="K20" i="20" s="1"/>
  <c r="E70" i="11"/>
  <c r="K12" i="20" s="1"/>
  <c r="E71" i="11"/>
  <c r="K13" i="20" s="1"/>
  <c r="Z47" i="11"/>
  <c r="E72"/>
  <c r="K14" i="20" s="1"/>
  <c r="E77" i="11"/>
  <c r="K19" i="20" s="1"/>
  <c r="E62" i="11"/>
  <c r="K4" i="20" s="1"/>
  <c r="Z48" i="11"/>
  <c r="E73"/>
  <c r="K15" i="20" s="1"/>
  <c r="E67" i="11"/>
  <c r="K9" i="20" s="1"/>
  <c r="E31" i="11"/>
  <c r="E36"/>
  <c r="Z49" l="1"/>
  <c r="Z42"/>
  <c r="Z51"/>
  <c r="W129"/>
  <c r="L129"/>
  <c r="R125"/>
  <c r="Z45"/>
  <c r="Z37"/>
  <c r="Z43"/>
  <c r="U129"/>
  <c r="Q125"/>
  <c r="H127"/>
  <c r="T129"/>
  <c r="J127"/>
  <c r="G127"/>
  <c r="V129"/>
  <c r="V126"/>
  <c r="F129"/>
  <c r="F127"/>
  <c r="W126"/>
  <c r="N126"/>
  <c r="L125"/>
  <c r="R128"/>
  <c r="U126"/>
  <c r="M129"/>
  <c r="M127"/>
  <c r="Q129"/>
  <c r="P128"/>
  <c r="S128"/>
  <c r="H128"/>
  <c r="K129"/>
  <c r="N125"/>
  <c r="P127"/>
  <c r="S126"/>
  <c r="K128"/>
  <c r="Z38"/>
  <c r="K125"/>
  <c r="F126"/>
  <c r="X80"/>
  <c r="T126"/>
  <c r="Z50"/>
  <c r="Z39"/>
  <c r="Z41"/>
  <c r="J129"/>
  <c r="O127"/>
  <c r="F125"/>
  <c r="W125"/>
  <c r="O125"/>
  <c r="N128"/>
  <c r="T127"/>
  <c r="T3" i="20"/>
  <c r="N102" i="11"/>
  <c r="N110"/>
  <c r="N95"/>
  <c r="N93"/>
  <c r="N130" s="1"/>
  <c r="N103"/>
  <c r="N140" s="1"/>
  <c r="N94"/>
  <c r="N117"/>
  <c r="N100"/>
  <c r="N108"/>
  <c r="N99"/>
  <c r="N107"/>
  <c r="N96"/>
  <c r="N113"/>
  <c r="N104"/>
  <c r="N112"/>
  <c r="N111"/>
  <c r="N109"/>
  <c r="N146" s="1"/>
  <c r="N115"/>
  <c r="N98"/>
  <c r="N114"/>
  <c r="N101"/>
  <c r="N105"/>
  <c r="N142" s="1"/>
  <c r="N97"/>
  <c r="N106"/>
  <c r="N116"/>
  <c r="AE3" i="20"/>
  <c r="Y96" i="11"/>
  <c r="Y110"/>
  <c r="Y99"/>
  <c r="Y107"/>
  <c r="Y97"/>
  <c r="Y134" s="1"/>
  <c r="Y114"/>
  <c r="Y104"/>
  <c r="Y98"/>
  <c r="Y108"/>
  <c r="Y117"/>
  <c r="Y113"/>
  <c r="Y80"/>
  <c r="Y109"/>
  <c r="Y146" s="1"/>
  <c r="Y115"/>
  <c r="Y152" s="1"/>
  <c r="Y116"/>
  <c r="Y111"/>
  <c r="Y95"/>
  <c r="Y105"/>
  <c r="Y102"/>
  <c r="Y112"/>
  <c r="Y149" s="1"/>
  <c r="Y93"/>
  <c r="Y103"/>
  <c r="Y94"/>
  <c r="Y101"/>
  <c r="Y106"/>
  <c r="Y100"/>
  <c r="V3" i="20"/>
  <c r="P117" i="11"/>
  <c r="P106"/>
  <c r="P108"/>
  <c r="P114"/>
  <c r="P109"/>
  <c r="P116"/>
  <c r="P99"/>
  <c r="P107"/>
  <c r="P100"/>
  <c r="P110"/>
  <c r="P102"/>
  <c r="P113"/>
  <c r="P103"/>
  <c r="P111"/>
  <c r="P148" s="1"/>
  <c r="P94"/>
  <c r="P97"/>
  <c r="P95"/>
  <c r="P112"/>
  <c r="P149" s="1"/>
  <c r="P98"/>
  <c r="P104"/>
  <c r="P105"/>
  <c r="P115"/>
  <c r="P101"/>
  <c r="P93"/>
  <c r="P130" s="1"/>
  <c r="P96"/>
  <c r="P133" s="1"/>
  <c r="W3" i="20"/>
  <c r="Q93" i="11"/>
  <c r="Q130" s="1"/>
  <c r="Q97"/>
  <c r="Q101"/>
  <c r="Q104"/>
  <c r="Q112"/>
  <c r="Q95"/>
  <c r="Q108"/>
  <c r="Q111"/>
  <c r="Q113"/>
  <c r="Q150" s="1"/>
  <c r="Q117"/>
  <c r="Q98"/>
  <c r="Q106"/>
  <c r="Q114"/>
  <c r="Q100"/>
  <c r="Q105"/>
  <c r="Q109"/>
  <c r="Q99"/>
  <c r="Q116"/>
  <c r="Q115"/>
  <c r="Q102"/>
  <c r="Q110"/>
  <c r="Q107"/>
  <c r="Q94"/>
  <c r="Q103"/>
  <c r="Q140" s="1"/>
  <c r="Q96"/>
  <c r="AA3" i="20"/>
  <c r="U97" i="11"/>
  <c r="U105"/>
  <c r="U113"/>
  <c r="U93"/>
  <c r="U130" s="1"/>
  <c r="U106"/>
  <c r="U96"/>
  <c r="U112"/>
  <c r="U111"/>
  <c r="U110"/>
  <c r="U99"/>
  <c r="U109"/>
  <c r="U95"/>
  <c r="U117"/>
  <c r="U103"/>
  <c r="U108"/>
  <c r="U116"/>
  <c r="U101"/>
  <c r="U100"/>
  <c r="U137" s="1"/>
  <c r="U102"/>
  <c r="U94"/>
  <c r="U131" s="1"/>
  <c r="U114"/>
  <c r="U98"/>
  <c r="U107"/>
  <c r="U104"/>
  <c r="U115"/>
  <c r="U152" s="1"/>
  <c r="M3" i="20"/>
  <c r="G117" i="11"/>
  <c r="G103"/>
  <c r="G101"/>
  <c r="G104"/>
  <c r="G115"/>
  <c r="G95"/>
  <c r="G96"/>
  <c r="G100"/>
  <c r="G105"/>
  <c r="G97"/>
  <c r="G98"/>
  <c r="G106"/>
  <c r="G99"/>
  <c r="G112"/>
  <c r="G94"/>
  <c r="G109"/>
  <c r="G113"/>
  <c r="G114"/>
  <c r="G110"/>
  <c r="G93"/>
  <c r="G130" s="1"/>
  <c r="G107"/>
  <c r="G111"/>
  <c r="G108"/>
  <c r="G116"/>
  <c r="G102"/>
  <c r="AD6" i="20"/>
  <c r="X92" i="11"/>
  <c r="X91"/>
  <c r="X89"/>
  <c r="X87"/>
  <c r="X124" s="1"/>
  <c r="X88"/>
  <c r="X90"/>
  <c r="P3" i="20"/>
  <c r="J117" i="11"/>
  <c r="J93"/>
  <c r="J130" s="1"/>
  <c r="J113"/>
  <c r="J100"/>
  <c r="J94"/>
  <c r="J96"/>
  <c r="J101"/>
  <c r="J114"/>
  <c r="J95"/>
  <c r="J132" s="1"/>
  <c r="J109"/>
  <c r="J116"/>
  <c r="J111"/>
  <c r="J108"/>
  <c r="J97"/>
  <c r="J134" s="1"/>
  <c r="J112"/>
  <c r="J105"/>
  <c r="J110"/>
  <c r="J103"/>
  <c r="J102"/>
  <c r="J139" s="1"/>
  <c r="J98"/>
  <c r="J99"/>
  <c r="J115"/>
  <c r="J106"/>
  <c r="J107"/>
  <c r="J104"/>
  <c r="O3" i="20"/>
  <c r="I97" i="11"/>
  <c r="I93"/>
  <c r="I130" s="1"/>
  <c r="I105"/>
  <c r="I101"/>
  <c r="I106"/>
  <c r="I113"/>
  <c r="I116"/>
  <c r="I99"/>
  <c r="I103"/>
  <c r="I98"/>
  <c r="I117"/>
  <c r="I114"/>
  <c r="I108"/>
  <c r="I109"/>
  <c r="I107"/>
  <c r="I115"/>
  <c r="I152" s="1"/>
  <c r="I102"/>
  <c r="I94"/>
  <c r="I131" s="1"/>
  <c r="I112"/>
  <c r="I110"/>
  <c r="I104"/>
  <c r="I141" s="1"/>
  <c r="I96"/>
  <c r="I111"/>
  <c r="I100"/>
  <c r="I137" s="1"/>
  <c r="I95"/>
  <c r="X3" i="20"/>
  <c r="R105" i="11"/>
  <c r="R95"/>
  <c r="R111"/>
  <c r="R116"/>
  <c r="R113"/>
  <c r="R104"/>
  <c r="R94"/>
  <c r="R106"/>
  <c r="R102"/>
  <c r="R114"/>
  <c r="R110"/>
  <c r="R101"/>
  <c r="R103"/>
  <c r="R140" s="1"/>
  <c r="R98"/>
  <c r="R109"/>
  <c r="R107"/>
  <c r="R144" s="1"/>
  <c r="R93"/>
  <c r="R130" s="1"/>
  <c r="R117"/>
  <c r="R115"/>
  <c r="R100"/>
  <c r="R112"/>
  <c r="R97"/>
  <c r="R108"/>
  <c r="R96"/>
  <c r="R99"/>
  <c r="Y3" i="20"/>
  <c r="S95" i="11"/>
  <c r="S111"/>
  <c r="S94"/>
  <c r="S102"/>
  <c r="S117"/>
  <c r="S105"/>
  <c r="S104"/>
  <c r="S101"/>
  <c r="S115"/>
  <c r="S103"/>
  <c r="S107"/>
  <c r="S93"/>
  <c r="S130" s="1"/>
  <c r="S109"/>
  <c r="S99"/>
  <c r="S114"/>
  <c r="S110"/>
  <c r="S98"/>
  <c r="S112"/>
  <c r="S149" s="1"/>
  <c r="S97"/>
  <c r="S96"/>
  <c r="S100"/>
  <c r="S106"/>
  <c r="S143" s="1"/>
  <c r="S116"/>
  <c r="S108"/>
  <c r="S113"/>
  <c r="R3" i="20"/>
  <c r="L103" i="11"/>
  <c r="L94"/>
  <c r="L113"/>
  <c r="L117"/>
  <c r="L107"/>
  <c r="L101"/>
  <c r="L111"/>
  <c r="L115"/>
  <c r="L104"/>
  <c r="L141" s="1"/>
  <c r="L100"/>
  <c r="L97"/>
  <c r="L109"/>
  <c r="L96"/>
  <c r="L106"/>
  <c r="L102"/>
  <c r="L114"/>
  <c r="L98"/>
  <c r="L110"/>
  <c r="L112"/>
  <c r="L105"/>
  <c r="L95"/>
  <c r="L108"/>
  <c r="L116"/>
  <c r="L93"/>
  <c r="L130" s="1"/>
  <c r="L99"/>
  <c r="L136" s="1"/>
  <c r="P129"/>
  <c r="Z52"/>
  <c r="Z46"/>
  <c r="Z53"/>
  <c r="Z44"/>
  <c r="T128"/>
  <c r="T125"/>
  <c r="J126"/>
  <c r="G129"/>
  <c r="G126"/>
  <c r="O128"/>
  <c r="V125"/>
  <c r="F128"/>
  <c r="R129"/>
  <c r="R127"/>
  <c r="U125"/>
  <c r="U128"/>
  <c r="M126"/>
  <c r="M128"/>
  <c r="P126"/>
  <c r="S125"/>
  <c r="H125"/>
  <c r="H126"/>
  <c r="I129"/>
  <c r="K127"/>
  <c r="L3" i="20"/>
  <c r="F105" i="11"/>
  <c r="F114"/>
  <c r="F96"/>
  <c r="F109"/>
  <c r="F100"/>
  <c r="F113"/>
  <c r="F99"/>
  <c r="F107"/>
  <c r="F101"/>
  <c r="F110"/>
  <c r="F117"/>
  <c r="F115"/>
  <c r="F98"/>
  <c r="F108"/>
  <c r="F112"/>
  <c r="F95"/>
  <c r="F116"/>
  <c r="F103"/>
  <c r="F104"/>
  <c r="F111"/>
  <c r="F106"/>
  <c r="F143" s="1"/>
  <c r="F93"/>
  <c r="F130" s="1"/>
  <c r="F94"/>
  <c r="F102"/>
  <c r="F97"/>
  <c r="AB3" i="20"/>
  <c r="V101" i="11"/>
  <c r="V117"/>
  <c r="V93"/>
  <c r="V130" s="1"/>
  <c r="V111"/>
  <c r="V97"/>
  <c r="V113"/>
  <c r="V114"/>
  <c r="V115"/>
  <c r="V116"/>
  <c r="V104"/>
  <c r="V109"/>
  <c r="V107"/>
  <c r="V112"/>
  <c r="V94"/>
  <c r="V108"/>
  <c r="V96"/>
  <c r="V105"/>
  <c r="V100"/>
  <c r="V99"/>
  <c r="V110"/>
  <c r="V95"/>
  <c r="V98"/>
  <c r="V103"/>
  <c r="V102"/>
  <c r="V106"/>
  <c r="V143" s="1"/>
  <c r="N3" i="20"/>
  <c r="H94" i="11"/>
  <c r="H110"/>
  <c r="H96"/>
  <c r="H112"/>
  <c r="H102"/>
  <c r="H111"/>
  <c r="H97"/>
  <c r="H134" s="1"/>
  <c r="H106"/>
  <c r="H100"/>
  <c r="H114"/>
  <c r="H99"/>
  <c r="H104"/>
  <c r="H105"/>
  <c r="H93"/>
  <c r="H130" s="1"/>
  <c r="H113"/>
  <c r="H101"/>
  <c r="H98"/>
  <c r="H109"/>
  <c r="H117"/>
  <c r="H108"/>
  <c r="H115"/>
  <c r="H95"/>
  <c r="H103"/>
  <c r="H116"/>
  <c r="H107"/>
  <c r="AD3" i="20"/>
  <c r="X107" i="11"/>
  <c r="X100"/>
  <c r="X114"/>
  <c r="X115"/>
  <c r="X103"/>
  <c r="X99"/>
  <c r="X108"/>
  <c r="X112"/>
  <c r="X98"/>
  <c r="X111"/>
  <c r="X117"/>
  <c r="X116"/>
  <c r="X153" s="1"/>
  <c r="X95"/>
  <c r="X102"/>
  <c r="X101"/>
  <c r="X104"/>
  <c r="X109"/>
  <c r="X96"/>
  <c r="X93"/>
  <c r="X106"/>
  <c r="X105"/>
  <c r="X113"/>
  <c r="X97"/>
  <c r="X110"/>
  <c r="X94"/>
  <c r="S3" i="20"/>
  <c r="M97" i="11"/>
  <c r="M105"/>
  <c r="M93"/>
  <c r="M130" s="1"/>
  <c r="M94"/>
  <c r="M115"/>
  <c r="M104"/>
  <c r="M95"/>
  <c r="M98"/>
  <c r="M111"/>
  <c r="M100"/>
  <c r="M109"/>
  <c r="M116"/>
  <c r="M117"/>
  <c r="M106"/>
  <c r="M143" s="1"/>
  <c r="M108"/>
  <c r="M113"/>
  <c r="M101"/>
  <c r="M114"/>
  <c r="M110"/>
  <c r="M147" s="1"/>
  <c r="M102"/>
  <c r="M99"/>
  <c r="M107"/>
  <c r="M144" s="1"/>
  <c r="M96"/>
  <c r="M133" s="1"/>
  <c r="M103"/>
  <c r="M140" s="1"/>
  <c r="M112"/>
  <c r="M149" s="1"/>
  <c r="U3" i="20"/>
  <c r="O113" i="11"/>
  <c r="O98"/>
  <c r="O94"/>
  <c r="O117"/>
  <c r="O97"/>
  <c r="O96"/>
  <c r="O104"/>
  <c r="O101"/>
  <c r="O99"/>
  <c r="O114"/>
  <c r="O110"/>
  <c r="O103"/>
  <c r="O95"/>
  <c r="O93"/>
  <c r="O130" s="1"/>
  <c r="O111"/>
  <c r="O148" s="1"/>
  <c r="O106"/>
  <c r="O102"/>
  <c r="O109"/>
  <c r="O108"/>
  <c r="O116"/>
  <c r="O100"/>
  <c r="O137" s="1"/>
  <c r="O105"/>
  <c r="O115"/>
  <c r="O112"/>
  <c r="O107"/>
  <c r="J128"/>
  <c r="G125"/>
  <c r="O126"/>
  <c r="W127"/>
  <c r="N127"/>
  <c r="R126"/>
  <c r="H129"/>
  <c r="I125"/>
  <c r="I126"/>
  <c r="Q3" i="20"/>
  <c r="K106" i="11"/>
  <c r="K114"/>
  <c r="K101"/>
  <c r="K94"/>
  <c r="K111"/>
  <c r="K98"/>
  <c r="K102"/>
  <c r="K139" s="1"/>
  <c r="K112"/>
  <c r="K99"/>
  <c r="K107"/>
  <c r="K110"/>
  <c r="K93"/>
  <c r="K130" s="1"/>
  <c r="K96"/>
  <c r="K109"/>
  <c r="K117"/>
  <c r="K115"/>
  <c r="K97"/>
  <c r="K134" s="1"/>
  <c r="K113"/>
  <c r="K104"/>
  <c r="K116"/>
  <c r="K153" s="1"/>
  <c r="K95"/>
  <c r="K100"/>
  <c r="K105"/>
  <c r="K142" s="1"/>
  <c r="K108"/>
  <c r="K103"/>
  <c r="Z3" i="20"/>
  <c r="T108" i="11"/>
  <c r="T116"/>
  <c r="T94"/>
  <c r="T113"/>
  <c r="T117"/>
  <c r="T114"/>
  <c r="T112"/>
  <c r="T107"/>
  <c r="T111"/>
  <c r="T104"/>
  <c r="T105"/>
  <c r="T106"/>
  <c r="T100"/>
  <c r="T95"/>
  <c r="T103"/>
  <c r="T97"/>
  <c r="T96"/>
  <c r="T99"/>
  <c r="T98"/>
  <c r="T93"/>
  <c r="T130" s="1"/>
  <c r="T110"/>
  <c r="T102"/>
  <c r="T101"/>
  <c r="T115"/>
  <c r="T109"/>
  <c r="T146" s="1"/>
  <c r="AE6" i="20"/>
  <c r="Y91" i="11"/>
  <c r="Y87"/>
  <c r="Y124" s="1"/>
  <c r="Y92"/>
  <c r="Y89"/>
  <c r="Y90"/>
  <c r="Y88"/>
  <c r="Y125" s="1"/>
  <c r="AC3" i="20"/>
  <c r="W108" i="11"/>
  <c r="W101"/>
  <c r="W98"/>
  <c r="W94"/>
  <c r="W113"/>
  <c r="W105"/>
  <c r="W96"/>
  <c r="W107"/>
  <c r="W109"/>
  <c r="W146" s="1"/>
  <c r="W103"/>
  <c r="W95"/>
  <c r="W106"/>
  <c r="W93"/>
  <c r="W130" s="1"/>
  <c r="W111"/>
  <c r="W115"/>
  <c r="W114"/>
  <c r="W110"/>
  <c r="W147" s="1"/>
  <c r="W100"/>
  <c r="W117"/>
  <c r="W112"/>
  <c r="W116"/>
  <c r="W97"/>
  <c r="W104"/>
  <c r="W99"/>
  <c r="W102"/>
  <c r="G128"/>
  <c r="V127"/>
  <c r="W128"/>
  <c r="N129"/>
  <c r="L128"/>
  <c r="L126"/>
  <c r="U127"/>
  <c r="Q128"/>
  <c r="Q126"/>
  <c r="P125"/>
  <c r="S129"/>
  <c r="I127"/>
  <c r="K6" i="20"/>
  <c r="E91" i="11"/>
  <c r="E92"/>
  <c r="E87"/>
  <c r="E124" s="1"/>
  <c r="E90"/>
  <c r="E88"/>
  <c r="E89"/>
  <c r="Z36"/>
  <c r="E61"/>
  <c r="E80" s="1"/>
  <c r="F138" l="1"/>
  <c r="Q151"/>
  <c r="H148"/>
  <c r="L149"/>
  <c r="W151"/>
  <c r="X130"/>
  <c r="N148"/>
  <c r="W134"/>
  <c r="W148"/>
  <c r="W140"/>
  <c r="Y127"/>
  <c r="T135"/>
  <c r="T140"/>
  <c r="T142"/>
  <c r="K132"/>
  <c r="K136"/>
  <c r="V139"/>
  <c r="F150"/>
  <c r="L132"/>
  <c r="L144"/>
  <c r="S134"/>
  <c r="S131"/>
  <c r="R136"/>
  <c r="R142"/>
  <c r="I148"/>
  <c r="J141"/>
  <c r="J147"/>
  <c r="J131"/>
  <c r="G148"/>
  <c r="G134"/>
  <c r="U148"/>
  <c r="Q153"/>
  <c r="P141"/>
  <c r="P134"/>
  <c r="Y139"/>
  <c r="Y150"/>
  <c r="Y136"/>
  <c r="N153"/>
  <c r="W136"/>
  <c r="T145"/>
  <c r="K147"/>
  <c r="K138"/>
  <c r="O151"/>
  <c r="O133"/>
  <c r="O135"/>
  <c r="M131"/>
  <c r="X133"/>
  <c r="X136"/>
  <c r="H141"/>
  <c r="V135"/>
  <c r="V150"/>
  <c r="F132"/>
  <c r="L139"/>
  <c r="R152"/>
  <c r="I139"/>
  <c r="U135"/>
  <c r="Q139"/>
  <c r="Q146"/>
  <c r="Q143"/>
  <c r="P147"/>
  <c r="Y145"/>
  <c r="C10"/>
  <c r="E125"/>
  <c r="X150"/>
  <c r="X148"/>
  <c r="H149"/>
  <c r="F148"/>
  <c r="W153"/>
  <c r="Y126"/>
  <c r="T151"/>
  <c r="T153"/>
  <c r="K145"/>
  <c r="K152"/>
  <c r="O152"/>
  <c r="O145"/>
  <c r="O147"/>
  <c r="O141"/>
  <c r="O131"/>
  <c r="M136"/>
  <c r="M138"/>
  <c r="M148"/>
  <c r="M152"/>
  <c r="M134"/>
  <c r="X134"/>
  <c r="X138"/>
  <c r="X145"/>
  <c r="X151"/>
  <c r="H144"/>
  <c r="H152"/>
  <c r="H135"/>
  <c r="H142"/>
  <c r="H137"/>
  <c r="H139"/>
  <c r="H131"/>
  <c r="V140"/>
  <c r="V136"/>
  <c r="V145"/>
  <c r="V151"/>
  <c r="F134"/>
  <c r="F153"/>
  <c r="F137"/>
  <c r="F142"/>
  <c r="L142"/>
  <c r="L151"/>
  <c r="L146"/>
  <c r="S136"/>
  <c r="S140"/>
  <c r="S142"/>
  <c r="S148"/>
  <c r="R133"/>
  <c r="R137"/>
  <c r="R143"/>
  <c r="R153"/>
  <c r="I133"/>
  <c r="I146"/>
  <c r="I135"/>
  <c r="I150"/>
  <c r="J144"/>
  <c r="J135"/>
  <c r="J142"/>
  <c r="J148"/>
  <c r="J151"/>
  <c r="J137"/>
  <c r="X126"/>
  <c r="G139"/>
  <c r="G144"/>
  <c r="G150"/>
  <c r="G136"/>
  <c r="G142"/>
  <c r="G152"/>
  <c r="U144"/>
  <c r="U139"/>
  <c r="U149"/>
  <c r="Q133"/>
  <c r="Q147"/>
  <c r="Q136"/>
  <c r="Q149"/>
  <c r="P138"/>
  <c r="P135"/>
  <c r="P131"/>
  <c r="P145"/>
  <c r="Y137"/>
  <c r="Y140"/>
  <c r="Y142"/>
  <c r="Y151"/>
  <c r="Y147"/>
  <c r="N143"/>
  <c r="N151"/>
  <c r="N133"/>
  <c r="N137"/>
  <c r="E127"/>
  <c r="W137"/>
  <c r="W142"/>
  <c r="T138"/>
  <c r="T149"/>
  <c r="T131"/>
  <c r="K140"/>
  <c r="K148"/>
  <c r="K143"/>
  <c r="F145"/>
  <c r="F147"/>
  <c r="L135"/>
  <c r="L140"/>
  <c r="S153"/>
  <c r="S151"/>
  <c r="R149"/>
  <c r="I144"/>
  <c r="I153"/>
  <c r="I142"/>
  <c r="G132"/>
  <c r="U141"/>
  <c r="U153"/>
  <c r="Q144"/>
  <c r="Q132"/>
  <c r="P150"/>
  <c r="P144"/>
  <c r="Y131"/>
  <c r="N150"/>
  <c r="N145"/>
  <c r="O144"/>
  <c r="O139"/>
  <c r="O150"/>
  <c r="M145"/>
  <c r="X142"/>
  <c r="X144"/>
  <c r="V149"/>
  <c r="S133"/>
  <c r="S147"/>
  <c r="R132"/>
  <c r="J140"/>
  <c r="G147"/>
  <c r="Q142"/>
  <c r="Y135"/>
  <c r="M154"/>
  <c r="M119"/>
  <c r="W138"/>
  <c r="Y128"/>
  <c r="K133"/>
  <c r="X154"/>
  <c r="X119"/>
  <c r="L154"/>
  <c r="L119"/>
  <c r="G154"/>
  <c r="G119"/>
  <c r="Y154"/>
  <c r="Y119"/>
  <c r="W154"/>
  <c r="W119"/>
  <c r="O154"/>
  <c r="O119"/>
  <c r="I154"/>
  <c r="I119"/>
  <c r="J154"/>
  <c r="J119"/>
  <c r="Q154"/>
  <c r="Q119"/>
  <c r="V146"/>
  <c r="F135"/>
  <c r="L152"/>
  <c r="R138"/>
  <c r="U145"/>
  <c r="U146"/>
  <c r="U150"/>
  <c r="P139"/>
  <c r="P136"/>
  <c r="E126"/>
  <c r="E129"/>
  <c r="W141"/>
  <c r="W152"/>
  <c r="W132"/>
  <c r="W133"/>
  <c r="W135"/>
  <c r="T152"/>
  <c r="T134"/>
  <c r="T143"/>
  <c r="T144"/>
  <c r="T150"/>
  <c r="K137"/>
  <c r="K150"/>
  <c r="K146"/>
  <c r="K144"/>
  <c r="K135"/>
  <c r="K151"/>
  <c r="O149"/>
  <c r="O153"/>
  <c r="O143"/>
  <c r="O140"/>
  <c r="O138"/>
  <c r="M151"/>
  <c r="M137"/>
  <c r="M141"/>
  <c r="M142"/>
  <c r="X147"/>
  <c r="X143"/>
  <c r="X141"/>
  <c r="X149"/>
  <c r="X152"/>
  <c r="H132"/>
  <c r="H146"/>
  <c r="H151"/>
  <c r="H147"/>
  <c r="V147"/>
  <c r="V133"/>
  <c r="V144"/>
  <c r="V152"/>
  <c r="V148"/>
  <c r="F140"/>
  <c r="F151"/>
  <c r="L133"/>
  <c r="S144"/>
  <c r="S141"/>
  <c r="R139"/>
  <c r="R150"/>
  <c r="I149"/>
  <c r="J136"/>
  <c r="J145"/>
  <c r="G151"/>
  <c r="G149"/>
  <c r="G140"/>
  <c r="U132"/>
  <c r="Q137"/>
  <c r="Q134"/>
  <c r="P151"/>
  <c r="Y153"/>
  <c r="Y141"/>
  <c r="N138"/>
  <c r="N139"/>
  <c r="T154"/>
  <c r="T119"/>
  <c r="K154"/>
  <c r="K119"/>
  <c r="H154"/>
  <c r="H119"/>
  <c r="F154"/>
  <c r="F119"/>
  <c r="R154"/>
  <c r="R119"/>
  <c r="U154"/>
  <c r="U119"/>
  <c r="P154"/>
  <c r="P119"/>
  <c r="W149"/>
  <c r="W143"/>
  <c r="W144"/>
  <c r="W131"/>
  <c r="Y129"/>
  <c r="T147"/>
  <c r="T133"/>
  <c r="T137"/>
  <c r="T148"/>
  <c r="K141"/>
  <c r="O132"/>
  <c r="O136"/>
  <c r="O134"/>
  <c r="M146"/>
  <c r="M132"/>
  <c r="X131"/>
  <c r="X146"/>
  <c r="X132"/>
  <c r="X135"/>
  <c r="X140"/>
  <c r="H140"/>
  <c r="H150"/>
  <c r="H136"/>
  <c r="H133"/>
  <c r="V132"/>
  <c r="V142"/>
  <c r="V153"/>
  <c r="V134"/>
  <c r="V138"/>
  <c r="F131"/>
  <c r="F141"/>
  <c r="F149"/>
  <c r="F136"/>
  <c r="F133"/>
  <c r="L145"/>
  <c r="L147"/>
  <c r="L143"/>
  <c r="L137"/>
  <c r="L138"/>
  <c r="L131"/>
  <c r="S145"/>
  <c r="S138"/>
  <c r="S139"/>
  <c r="R134"/>
  <c r="R135"/>
  <c r="R151"/>
  <c r="R141"/>
  <c r="I147"/>
  <c r="I151"/>
  <c r="I136"/>
  <c r="I138"/>
  <c r="J152"/>
  <c r="J146"/>
  <c r="J133"/>
  <c r="X125"/>
  <c r="X129"/>
  <c r="G145"/>
  <c r="G131"/>
  <c r="G135"/>
  <c r="G133"/>
  <c r="G138"/>
  <c r="U151"/>
  <c r="U138"/>
  <c r="U147"/>
  <c r="U143"/>
  <c r="U134"/>
  <c r="Q131"/>
  <c r="Q152"/>
  <c r="Q135"/>
  <c r="Q145"/>
  <c r="Q138"/>
  <c r="P142"/>
  <c r="P132"/>
  <c r="P140"/>
  <c r="P137"/>
  <c r="P146"/>
  <c r="Y138"/>
  <c r="Y148"/>
  <c r="Y144"/>
  <c r="N152"/>
  <c r="N141"/>
  <c r="N136"/>
  <c r="N131"/>
  <c r="N147"/>
  <c r="V154"/>
  <c r="V119"/>
  <c r="S154"/>
  <c r="S119"/>
  <c r="N154"/>
  <c r="N119"/>
  <c r="W139"/>
  <c r="W150"/>
  <c r="W145"/>
  <c r="T139"/>
  <c r="T136"/>
  <c r="T132"/>
  <c r="T141"/>
  <c r="K149"/>
  <c r="K131"/>
  <c r="O142"/>
  <c r="O146"/>
  <c r="M139"/>
  <c r="M150"/>
  <c r="M153"/>
  <c r="M135"/>
  <c r="X139"/>
  <c r="X137"/>
  <c r="H153"/>
  <c r="H145"/>
  <c r="H138"/>
  <c r="H143"/>
  <c r="V137"/>
  <c r="V131"/>
  <c r="V141"/>
  <c r="F139"/>
  <c r="F152"/>
  <c r="F144"/>
  <c r="F146"/>
  <c r="L153"/>
  <c r="L134"/>
  <c r="L148"/>
  <c r="L150"/>
  <c r="S150"/>
  <c r="S137"/>
  <c r="S135"/>
  <c r="S146"/>
  <c r="S152"/>
  <c r="S132"/>
  <c r="R145"/>
  <c r="R146"/>
  <c r="R147"/>
  <c r="R131"/>
  <c r="R148"/>
  <c r="I132"/>
  <c r="I145"/>
  <c r="I140"/>
  <c r="I143"/>
  <c r="I134"/>
  <c r="J143"/>
  <c r="J149"/>
  <c r="J153"/>
  <c r="J138"/>
  <c r="J150"/>
  <c r="X127"/>
  <c r="X128"/>
  <c r="G153"/>
  <c r="G146"/>
  <c r="G143"/>
  <c r="G137"/>
  <c r="G141"/>
  <c r="U140"/>
  <c r="U136"/>
  <c r="U133"/>
  <c r="U142"/>
  <c r="Q148"/>
  <c r="Q141"/>
  <c r="P152"/>
  <c r="P153"/>
  <c r="P143"/>
  <c r="Y143"/>
  <c r="Y130"/>
  <c r="Y132"/>
  <c r="Y133"/>
  <c r="N134"/>
  <c r="N135"/>
  <c r="N149"/>
  <c r="N144"/>
  <c r="N132"/>
  <c r="E128"/>
  <c r="K3" i="20"/>
  <c r="E93" i="11"/>
  <c r="E130" s="1"/>
  <c r="E99"/>
  <c r="E97"/>
  <c r="E103"/>
  <c r="E94"/>
  <c r="E131" s="1"/>
  <c r="E100"/>
  <c r="E137" s="1"/>
  <c r="E102"/>
  <c r="E95"/>
  <c r="E113"/>
  <c r="E104"/>
  <c r="E106"/>
  <c r="E105"/>
  <c r="E111"/>
  <c r="E117"/>
  <c r="E115"/>
  <c r="E109"/>
  <c r="E101"/>
  <c r="E107"/>
  <c r="E108"/>
  <c r="E110"/>
  <c r="E96"/>
  <c r="E98"/>
  <c r="E112"/>
  <c r="E114"/>
  <c r="E116"/>
  <c r="E147" l="1"/>
  <c r="E138"/>
  <c r="K156"/>
  <c r="O156"/>
  <c r="N156"/>
  <c r="Q156"/>
  <c r="X156"/>
  <c r="U156"/>
  <c r="T156"/>
  <c r="W156"/>
  <c r="V156"/>
  <c r="P156"/>
  <c r="Y157"/>
  <c r="H156"/>
  <c r="E151"/>
  <c r="I156"/>
  <c r="G156"/>
  <c r="M156"/>
  <c r="R156"/>
  <c r="S156"/>
  <c r="L156"/>
  <c r="J156"/>
  <c r="F156"/>
  <c r="E146"/>
  <c r="E142"/>
  <c r="E132"/>
  <c r="E140"/>
  <c r="E135"/>
  <c r="E144"/>
  <c r="E149"/>
  <c r="E145"/>
  <c r="E153"/>
  <c r="E133"/>
  <c r="E148"/>
  <c r="E150"/>
  <c r="E154"/>
  <c r="E119"/>
  <c r="E141"/>
  <c r="E136"/>
  <c r="E152"/>
  <c r="E143"/>
  <c r="E139"/>
  <c r="E134"/>
  <c r="E156" l="1"/>
  <c r="E157" s="1"/>
  <c r="F157" s="1"/>
  <c r="G157" s="1"/>
  <c r="H157" s="1"/>
  <c r="I157" s="1"/>
  <c r="J157" s="1"/>
  <c r="K157" s="1"/>
  <c r="L157" s="1"/>
  <c r="M157" s="1"/>
  <c r="N157" s="1"/>
  <c r="O157" s="1"/>
  <c r="P157" s="1"/>
  <c r="Q157" s="1"/>
  <c r="R157" s="1"/>
  <c r="S157" s="1"/>
  <c r="T157" s="1"/>
  <c r="U157" s="1"/>
  <c r="V157" s="1"/>
  <c r="W157" s="1"/>
  <c r="X157"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 xml:space="preserve"> </author>
    <author>Kevin Smit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Kevin Smit</author>
  </authors>
  <commentList>
    <comment ref="E5" authorId="0">
      <text>
        <r>
          <rPr>
            <b/>
            <sz val="9"/>
            <color indexed="81"/>
            <rFont val="Tahoma"/>
            <family val="2"/>
          </rPr>
          <t>Kevin Smit:</t>
        </r>
        <r>
          <rPr>
            <sz val="9"/>
            <color indexed="81"/>
            <rFont val="Tahoma"/>
            <family val="2"/>
          </rPr>
          <t xml:space="preserve">
From CBSA - number of hours the fan system is running in constant speed mode.</t>
        </r>
      </text>
    </comment>
  </commentList>
</comments>
</file>

<file path=xl/comments4.xml><?xml version="1.0" encoding="utf-8"?>
<comments xmlns="http://schemas.openxmlformats.org/spreadsheetml/2006/main">
  <authors>
    <author>Mike Kennedy</author>
  </authors>
  <commentList>
    <comment ref="E16" authorId="0">
      <text>
        <r>
          <rPr>
            <sz val="8"/>
            <color indexed="81"/>
            <rFont val="Tahoma"/>
            <family val="2"/>
          </rPr>
          <t>Assume ceiling supply and exhaust with warm supply air &gt;15F warmer than room air.</t>
        </r>
      </text>
    </comment>
  </commentList>
</comments>
</file>

<file path=xl/comments5.xml><?xml version="1.0" encoding="utf-8"?>
<comments xmlns="http://schemas.openxmlformats.org/spreadsheetml/2006/main">
  <authors>
    <author>Mike Kennedy</author>
  </authors>
  <commentList>
    <comment ref="S20" authorId="0">
      <text>
        <r>
          <rPr>
            <sz val="8"/>
            <color indexed="81"/>
            <rFont val="Tahoma"/>
            <family val="2"/>
          </rPr>
          <t>Total savings include this plus thermal savings on the RTU DCV Savings tabs.</t>
        </r>
      </text>
    </comment>
  </commentList>
</comments>
</file>

<file path=xl/sharedStrings.xml><?xml version="1.0" encoding="utf-8"?>
<sst xmlns="http://schemas.openxmlformats.org/spreadsheetml/2006/main" count="2222" uniqueCount="792">
  <si>
    <t>RTU ID</t>
  </si>
  <si>
    <t>RTU Capacity (tons)</t>
  </si>
  <si>
    <t>Normalized Annual Energy Savings (kWh)</t>
  </si>
  <si>
    <t>Normalized Annual Runtime (hr)</t>
  </si>
  <si>
    <t>Cost Savings ($/yr)</t>
  </si>
  <si>
    <t>Payback (yr)</t>
  </si>
  <si>
    <t>Supply Fan Size (hp)</t>
  </si>
  <si>
    <t>Controller ($)</t>
  </si>
  <si>
    <t>Controller Labor ($)</t>
  </si>
  <si>
    <t>≤5</t>
  </si>
  <si>
    <t>&gt; 5 and ≤ 10</t>
  </si>
  <si>
    <t>&gt; 10 and ≤ 15</t>
  </si>
  <si>
    <t>&gt; 15 and ≤ 20</t>
  </si>
  <si>
    <t>&gt; 20 and ≤ 25</t>
  </si>
  <si>
    <t>$/hp</t>
  </si>
  <si>
    <t>$/ton</t>
  </si>
  <si>
    <t>Cost</t>
  </si>
  <si>
    <t>Total ($)</t>
  </si>
  <si>
    <t>Levelized Cost ($/MWh)</t>
  </si>
  <si>
    <t>Source:  Advanced Rooftop Control (ARC) Retrofit: Field-Test Results  (PNNL-22656), July 2013</t>
  </si>
  <si>
    <t>Size</t>
  </si>
  <si>
    <t>Savings (kWh/yr)</t>
  </si>
  <si>
    <t>Size (tons)</t>
  </si>
  <si>
    <t>Levelized Cost for all sites</t>
  </si>
  <si>
    <t>Life</t>
  </si>
  <si>
    <t>years (assumed)</t>
  </si>
  <si>
    <t>kWh/ton</t>
  </si>
  <si>
    <t>sf/ton</t>
  </si>
  <si>
    <t>kWh/sf</t>
  </si>
  <si>
    <t>savings</t>
  </si>
  <si>
    <t>Billion sf</t>
  </si>
  <si>
    <t>Dx</t>
  </si>
  <si>
    <t>Cooled</t>
  </si>
  <si>
    <t>wow</t>
  </si>
  <si>
    <t>aMW</t>
  </si>
  <si>
    <t>bogey</t>
  </si>
  <si>
    <t>Max</t>
  </si>
  <si>
    <t>Average Savings across all sites</t>
  </si>
  <si>
    <t>Wh/h/hp</t>
  </si>
  <si>
    <t>kWh/h</t>
  </si>
  <si>
    <t>RTU Capacity 10-15 tons</t>
  </si>
  <si>
    <t>RTU Capacity &gt;15 tons</t>
  </si>
  <si>
    <t>Savings for RTU Capacity &lt;10 tons</t>
  </si>
  <si>
    <t>Savings</t>
  </si>
  <si>
    <t>AC Units (gas heat)</t>
  </si>
  <si>
    <t>HP Units</t>
  </si>
  <si>
    <t>Assembly</t>
  </si>
  <si>
    <t>Food Service</t>
  </si>
  <si>
    <t>Grocery</t>
  </si>
  <si>
    <t>Lodging</t>
  </si>
  <si>
    <t>Office</t>
  </si>
  <si>
    <t>Residential Care</t>
  </si>
  <si>
    <t>Retail</t>
  </si>
  <si>
    <t>School</t>
  </si>
  <si>
    <t>Warehouse</t>
  </si>
  <si>
    <t>Other</t>
  </si>
  <si>
    <t>Chiller</t>
  </si>
  <si>
    <t>DX-Water</t>
  </si>
  <si>
    <t>DX-Air</t>
  </si>
  <si>
    <t>Evaporative</t>
  </si>
  <si>
    <t>Economizer Only</t>
  </si>
  <si>
    <t>All</t>
  </si>
  <si>
    <t>Purchased Off Site</t>
  </si>
  <si>
    <t>Cooling System Type by Building Type</t>
  </si>
  <si>
    <t>Item</t>
  </si>
  <si>
    <t>Methods &amp; Sources</t>
  </si>
  <si>
    <t>Note</t>
  </si>
  <si>
    <t>Measures Described</t>
  </si>
  <si>
    <t>Energy Savings Calculation Basis</t>
  </si>
  <si>
    <t>Applicable Stock</t>
  </si>
  <si>
    <t>Baseline Saturation</t>
  </si>
  <si>
    <t>Permutations</t>
  </si>
  <si>
    <t>Costs</t>
  </si>
  <si>
    <t>Measure Life</t>
  </si>
  <si>
    <t>Savings Shape</t>
  </si>
  <si>
    <t>Source of Savings Estimates</t>
  </si>
  <si>
    <t>Non-Energy Benefits</t>
  </si>
  <si>
    <t>Achievable Ramp Rate</t>
  </si>
  <si>
    <t>Baseline</t>
  </si>
  <si>
    <t>Advanced Rooftop Control (ARC) Retrofit: Field-Test Results, PNNL, July 2013</t>
  </si>
  <si>
    <t>Savings are a function of RTU Size and operating hours</t>
  </si>
  <si>
    <t>RTU Type</t>
  </si>
  <si>
    <t>RTU Size (ton)</t>
  </si>
  <si>
    <t>RTU Fan Power (hp)</t>
  </si>
  <si>
    <t>Post-Retrofit Runtime (hr)</t>
  </si>
  <si>
    <t>Fan Energy Savings (kWh)</t>
  </si>
  <si>
    <t>Fan Energy Savings per Hour (kWh/h)</t>
  </si>
  <si>
    <t>Fan Energy Savings per Hour and per hp (Wh/h/hp)</t>
  </si>
  <si>
    <t>Total RTU Electricity Savings (kWh)</t>
  </si>
  <si>
    <t>RTU Electricity Savings per Hour (kWh/h)</t>
  </si>
  <si>
    <t>RTU Electricity Savings per Hour and per hp (Wh/h/hp)</t>
  </si>
  <si>
    <t>RTU Electricity Savings per Hour and per ton (Wh/h/ton)</t>
  </si>
  <si>
    <t>AC</t>
  </si>
  <si>
    <t>HP</t>
  </si>
  <si>
    <t>Formulas are rebuilding table from one colum</t>
  </si>
  <si>
    <t>Source:  Advanced Rooftop Control (ARC) Retrofit: Field-Test Results  (PNNL-22656), July 2013 - Table 9 - Absolute Actual Savings for All Units</t>
  </si>
  <si>
    <t>Annual RTU Running Time (hr)</t>
  </si>
  <si>
    <t>RTU Electricity Savings per Hour (kWh/ton)</t>
  </si>
  <si>
    <t>Source:  Advanced Rooftop Control (ARC) Retrofit: Field-Test Results  (PNNL-22656), July 2013 - Table 10 - TMY weather normalized annual savings for all units</t>
  </si>
  <si>
    <t>Share of Total Savings from Fan Energy</t>
  </si>
  <si>
    <t>Weighted share of fan savings to total</t>
  </si>
  <si>
    <t>Of the 66 RTUs, 17 were packaged heat pumps and the rest were packaged air conditioners with gas heat. The eight buildings cover four building types, including mercantile (both retail and shopping malls), office, food sales, and healthcare.</t>
  </si>
  <si>
    <t>Ignore, but leave these colums</t>
  </si>
  <si>
    <t>Quick - High level Potential Estimate</t>
  </si>
  <si>
    <t>From CBSA</t>
  </si>
  <si>
    <t>Total number of rooftop units in region</t>
  </si>
  <si>
    <t>Total refrigerant tons rooftop cooling in region</t>
  </si>
  <si>
    <t xml:space="preserve">Baseline is developed from CBSA data.  The baseline is the constant speed fan system.  </t>
  </si>
  <si>
    <t>Baseline saturation - number of systems with advanced controls and/or variable speed supply fans</t>
  </si>
  <si>
    <t>From PNNL report.  There may be two levels of cost.  One is for the ARC units defined in the PNNL report.  The other is for the "Catalyst Lite" system which only controls the fan, but is half the cost.</t>
  </si>
  <si>
    <t>15 years (from 6P)</t>
  </si>
  <si>
    <t>The tests were conducted on buildings located in four different US climate zones, including warm and coastal climate, mixed and humid climate, mixed and marine climate, and cool and moist climate. One-minute interval data was collected from these 66 units over a 12-month period. During the 12 months of monitoring period, the controls on the RTUs were alternated between standard (pre-retrofit mode) and advanced control modes on a daily basis. The measured actual savings, the normalized annual energy savings, and the savings uncertainties were calculated using the methods described in the American Society of Heating, Refrigeration and Air Conditioning Engineers (ASHRAE) Guideline 14.</t>
  </si>
  <si>
    <t>Summary of unit size information.  Primary data is from NEEA 2005 Baseline survey.  Data from the PSE Roof top program and CEE power point are checks.</t>
  </si>
  <si>
    <t>Baseline 2005 Roof top Sizes</t>
  </si>
  <si>
    <t>Baseline 2005 RTU Capacity Distribution by Building type</t>
  </si>
  <si>
    <t>0-4.5 tons</t>
  </si>
  <si>
    <t xml:space="preserve">Retail </t>
  </si>
  <si>
    <t>0-5 tons</t>
  </si>
  <si>
    <t>0-7 tons</t>
  </si>
  <si>
    <t>Rest</t>
  </si>
  <si>
    <t>0-9.9 tons</t>
  </si>
  <si>
    <t>0-10</t>
  </si>
  <si>
    <t>7.5-9.9</t>
  </si>
  <si>
    <t>2-4% each in Education, Health, Institution, Other, Warehouse, &amp; lodging</t>
  </si>
  <si>
    <t>10-20</t>
  </si>
  <si>
    <t>Area Wgt</t>
  </si>
  <si>
    <t>Unit Cap Wgt</t>
  </si>
  <si>
    <t>mean</t>
  </si>
  <si>
    <t>median</t>
  </si>
  <si>
    <t>Average Roof Top Used in Analysis</t>
  </si>
  <si>
    <t>0-20 tons</t>
  </si>
  <si>
    <t>Average Tons</t>
  </si>
  <si>
    <t>CFM/ton</t>
  </si>
  <si>
    <t>CFM/SF</t>
  </si>
  <si>
    <t>SF/Unit</t>
  </si>
  <si>
    <t>5-20 tons</t>
  </si>
  <si>
    <t>CEE - Eileen Eaton ppt June 2007</t>
  </si>
  <si>
    <t>almost 60% of rooftop capacity is in units&lt;10tons</t>
  </si>
  <si>
    <t xml:space="preserve">PSE data dump of 908 units.  They have 73 units over 20tons, 69 over 25.  It's not clear that the service program is really suited to these large units.  </t>
  </si>
  <si>
    <t>0-50 ton</t>
  </si>
  <si>
    <t>0-20 ton</t>
  </si>
  <si>
    <t>5-20 ton</t>
  </si>
  <si>
    <t>20-50 ton</t>
  </si>
  <si>
    <t>Avg. Tons</t>
  </si>
  <si>
    <t>Cap. Sum</t>
  </si>
  <si>
    <t>count</t>
  </si>
  <si>
    <t>min</t>
  </si>
  <si>
    <t>max</t>
  </si>
  <si>
    <t>From first 254 PSE sites.  Ignore stuff over 20 tons as it shouldn't be in program anyway</t>
  </si>
  <si>
    <t>tons</t>
  </si>
  <si>
    <t>Freq.</t>
  </si>
  <si>
    <t>Percent of cnt</t>
  </si>
  <si>
    <t>Cum Pct of CNT</t>
  </si>
  <si>
    <t>Summary for units &lt;20 tons</t>
  </si>
  <si>
    <t>-----------</t>
  </si>
  <si>
    <t>------------</t>
  </si>
  <si>
    <t>cnt</t>
  </si>
  <si>
    <t>bin tons</t>
  </si>
  <si>
    <t>Cum Pct of cap</t>
  </si>
  <si>
    <t>1st 254 PSE sites</t>
  </si>
  <si>
    <t>median 7.5tons</t>
  </si>
  <si>
    <t>mean 6.78 tons</t>
  </si>
  <si>
    <t>if eliminate every thing under 5 tons then median is 8.5 tons and mean is 8.33</t>
  </si>
  <si>
    <t>tot</t>
  </si>
  <si>
    <t>Total</t>
  </si>
  <si>
    <t>Rooftop unit size data from the 6P RT Optimization Measure</t>
  </si>
  <si>
    <t>Size Category</t>
  </si>
  <si>
    <t>Regional Units</t>
  </si>
  <si>
    <t>Regional Hours</t>
  </si>
  <si>
    <t>&lt;10</t>
  </si>
  <si>
    <t>&gt;15</t>
  </si>
  <si>
    <t>10-15</t>
  </si>
  <si>
    <t>Grand Total</t>
  </si>
  <si>
    <t>Regional kWh</t>
  </si>
  <si>
    <t>Regional aMW</t>
  </si>
  <si>
    <t>Units Methodology</t>
  </si>
  <si>
    <t>Forecast Version</t>
  </si>
  <si>
    <t>='[7P Forecasts D1.xlsx]Pop Forecast (Base Case)'!$A$1</t>
  </si>
  <si>
    <t>Vintage</t>
  </si>
  <si>
    <t>Retro</t>
  </si>
  <si>
    <t>Measure Bundle</t>
  </si>
  <si>
    <t>Report Year</t>
  </si>
  <si>
    <t>Total Potential (aMW)</t>
  </si>
  <si>
    <t>UNITS FOR EXISTING STOCK</t>
  </si>
  <si>
    <t>MAX</t>
  </si>
  <si>
    <t>Achievability</t>
  </si>
  <si>
    <t>SUPPLY CURVE SAVINGS BY BUNDLE</t>
  </si>
  <si>
    <t>Busbar Savings (kWh)</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</si>
  <si>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</si>
  <si>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</si>
  <si>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</si>
  <si>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</si>
  <si>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</si>
  <si>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</si>
  <si>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</si>
  <si>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</si>
  <si>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</si>
  <si>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</si>
  <si>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</si>
  <si>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</si>
  <si>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</si>
  <si>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</si>
  <si>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</si>
  <si>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</si>
  <si>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</si>
  <si>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</si>
  <si>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</si>
  <si>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</si>
  <si>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</si>
  <si>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</si>
  <si>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</si>
  <si>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</si>
  <si>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</si>
  <si>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</si>
  <si>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</si>
  <si>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</si>
  <si>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</si>
  <si>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</si>
  <si>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</si>
  <si>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</si>
  <si>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</si>
  <si>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</si>
  <si>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</si>
  <si>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</si>
  <si>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</si>
  <si>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</si>
  <si>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</si>
  <si>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</si>
  <si>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</si>
  <si>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</si>
  <si>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</si>
  <si>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</si>
  <si>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</si>
  <si>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</si>
  <si>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</si>
  <si>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</si>
  <si>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</si>
  <si>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</si>
  <si>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</si>
  <si>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</si>
  <si>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</si>
  <si>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</si>
  <si>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</si>
  <si>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</si>
  <si>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</si>
  <si>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</si>
  <si>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</si>
  <si>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</si>
  <si>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</si>
  <si>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</si>
  <si>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</si>
  <si>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</si>
  <si>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</si>
  <si>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</si>
  <si>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</si>
  <si>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</si>
  <si>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</si>
  <si>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</si>
  <si>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</si>
  <si>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</si>
  <si>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</si>
  <si>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</si>
  <si>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</si>
  <si>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</si>
  <si>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</si>
  <si>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</si>
  <si>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</si>
  <si>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</si>
  <si>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</si>
  <si>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</si>
  <si>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</si>
  <si>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</si>
  <si>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</si>
  <si>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</si>
  <si>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</si>
  <si>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</si>
  <si>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</si>
  <si>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</si>
  <si>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</si>
  <si>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</si>
  <si>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</si>
  <si>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</si>
  <si>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</si>
  <si>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</si>
  <si>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</si>
  <si>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</si>
  <si>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</si>
  <si>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</si>
  <si>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INCREMENTAL</t>
  </si>
  <si>
    <t>Block 22: &gt; 200 mills/kWh</t>
  </si>
  <si>
    <t>Total per Year</t>
  </si>
  <si>
    <t>Total Cumulative</t>
  </si>
  <si>
    <t>REG_Office</t>
  </si>
  <si>
    <t>Large Off</t>
  </si>
  <si>
    <t>Medium Off</t>
  </si>
  <si>
    <t>Small Off</t>
  </si>
  <si>
    <t>REG_University</t>
  </si>
  <si>
    <t>University</t>
  </si>
  <si>
    <t>REG_Warehouse</t>
  </si>
  <si>
    <t>REG_Grocery</t>
  </si>
  <si>
    <t>Supermarket</t>
  </si>
  <si>
    <t>REG_Restaurant</t>
  </si>
  <si>
    <t>Restaurant</t>
  </si>
  <si>
    <t>REG_hospital</t>
  </si>
  <si>
    <t>Hospital</t>
  </si>
  <si>
    <t>REG_Hospital Other</t>
  </si>
  <si>
    <t>REG_Assembly</t>
  </si>
  <si>
    <t>REG_Other</t>
  </si>
  <si>
    <t>Medium Ret</t>
  </si>
  <si>
    <t>Large Ret</t>
  </si>
  <si>
    <t>Small Ret</t>
  </si>
  <si>
    <t>Values</t>
  </si>
  <si>
    <t>Row Labels</t>
  </si>
  <si>
    <t>Retail/Service</t>
  </si>
  <si>
    <t>School K-12</t>
  </si>
  <si>
    <t>Measure Map</t>
  </si>
  <si>
    <t>CoolSat%TYP</t>
  </si>
  <si>
    <t>FloorA%TYP</t>
  </si>
  <si>
    <t>FloorA%REG</t>
  </si>
  <si>
    <t>Measure Name</t>
  </si>
  <si>
    <t>Base Measure Name</t>
  </si>
  <si>
    <t>Measure Index Name</t>
  </si>
  <si>
    <t>Category1</t>
  </si>
  <si>
    <t>BType</t>
  </si>
  <si>
    <t>MOPP</t>
  </si>
  <si>
    <t>End Use</t>
  </si>
  <si>
    <t>Shape Pointer</t>
  </si>
  <si>
    <t>COOLING SATURATION</t>
  </si>
  <si>
    <t>Btype IDX</t>
  </si>
  <si>
    <t>Activity Type WT for MOPP Cohort</t>
  </si>
  <si>
    <t>Btype WT for Region for MOPP and Cohort</t>
  </si>
  <si>
    <t>New</t>
  </si>
  <si>
    <t>Advanced Rooftop Controller</t>
  </si>
  <si>
    <t>XLarge Ret</t>
  </si>
  <si>
    <t>RTU Size Rage</t>
  </si>
  <si>
    <t>Building Type</t>
  </si>
  <si>
    <t>Total Units</t>
  </si>
  <si>
    <t>Total Hours</t>
  </si>
  <si>
    <t>Savings (kWh/hr)</t>
  </si>
  <si>
    <t>Measure Savings Data from PNNL Report</t>
  </si>
  <si>
    <t>Equipment Type</t>
  </si>
  <si>
    <t>Total Savings by BT and Equipment Size category (kWh)</t>
  </si>
  <si>
    <t>Total kWh</t>
  </si>
  <si>
    <t>Sum of _Sf_PNW</t>
  </si>
  <si>
    <t>Sum of Sf_PNW_LPD_Ind</t>
  </si>
  <si>
    <t>Sum of Sf_PNW_LPD_IndPark</t>
  </si>
  <si>
    <t>SF</t>
  </si>
  <si>
    <t>REG_Retail/Service</t>
  </si>
  <si>
    <t>REG_School K-12</t>
  </si>
  <si>
    <t>REG_Lodging</t>
  </si>
  <si>
    <t>MiniMart</t>
  </si>
  <si>
    <t>Xlarge Ret</t>
  </si>
  <si>
    <t xml:space="preserve">Size Range </t>
  </si>
  <si>
    <t>$</t>
  </si>
  <si>
    <t>Total Cost</t>
  </si>
  <si>
    <t>$/sf</t>
  </si>
  <si>
    <t xml:space="preserve">$/Sf </t>
  </si>
  <si>
    <t>Data Set Name</t>
  </si>
  <si>
    <t>Costs must be denominated in the same year as 'Input Cost Reference Year' =</t>
  </si>
  <si>
    <t>Input Data</t>
  </si>
  <si>
    <t>Periodic Replacement Costs and Savings and Replacement Period</t>
  </si>
  <si>
    <t>Gas Inputs</t>
  </si>
  <si>
    <t>Retro or LO</t>
  </si>
  <si>
    <t>Early Retrofit Parameters</t>
  </si>
  <si>
    <t>Category Name</t>
  </si>
  <si>
    <t>Savings (kwh/yr)</t>
  </si>
  <si>
    <t>Life (yrs)</t>
  </si>
  <si>
    <t>Capital Cost</t>
  </si>
  <si>
    <t>Annual O&amp;M</t>
  </si>
  <si>
    <t>Non-E Val ($/yr)</t>
  </si>
  <si>
    <t>Cost 1 ($)</t>
  </si>
  <si>
    <t xml:space="preserve">Period 1 </t>
  </si>
  <si>
    <t>Cost 2 ($)</t>
  </si>
  <si>
    <t>Period 2</t>
  </si>
  <si>
    <t>Cost 3 ($)</t>
  </si>
  <si>
    <t>Period 3</t>
  </si>
  <si>
    <t>Savings (therms/yr)</t>
  </si>
  <si>
    <t>R or L</t>
  </si>
  <si>
    <t>Savings 2
(kWh)</t>
  </si>
  <si>
    <t>Remaining
Life (yrs)</t>
  </si>
  <si>
    <t>Salvage Value ($)</t>
  </si>
  <si>
    <t>R</t>
  </si>
  <si>
    <t>Find/build load shape</t>
  </si>
  <si>
    <t>Build SC worksheets</t>
  </si>
  <si>
    <t>Put more applicability factors into MMAP</t>
  </si>
  <si>
    <t>Cost Per Unit ($)</t>
  </si>
  <si>
    <t>Total Cost ($)</t>
  </si>
  <si>
    <t>Levelized Cost</t>
  </si>
  <si>
    <t>Check WA and OR codes</t>
  </si>
  <si>
    <t>How do deal with new construction</t>
  </si>
  <si>
    <t>DCV Code Requirements</t>
  </si>
  <si>
    <t>Requirement</t>
  </si>
  <si>
    <t>Typical Space Types</t>
  </si>
  <si>
    <t>Next Step</t>
  </si>
  <si>
    <t>ID/MT</t>
  </si>
  <si>
    <t>no requirement</t>
  </si>
  <si>
    <t>OR</t>
  </si>
  <si>
    <t>50 people per 1000sf where outside air is &gt;1500cfm.   Multiple systems serving single rooms need to be added together for this threshold.  Occupant load must be taken from table in code.</t>
  </si>
  <si>
    <t>Assembly of all kinds, dining.  Classrooms but typically the flow limit excludes them.</t>
  </si>
  <si>
    <t>next tier is 34 people per 1000sf  which would extend requirement to all first floor retail.</t>
  </si>
  <si>
    <t>WA</t>
  </si>
  <si>
    <t>40 people per 1000sf where spaces are larger than 500sf, with design outdoor air&gt;1200cfm.  Occupant load maybe able to be designer calculation.</t>
  </si>
  <si>
    <t xml:space="preserve">If using code default occupance densities the following spaces would be required to have DCV:Eating, conference rooms, assembly, ballrooms, game rooms, theater, auditoriums.   Class room would with def table but not designer calc and typically would have </t>
  </si>
  <si>
    <t>Based upon the Washington code table dropping the threshold to 30 people per 1000 would extend the requirement to retail.</t>
  </si>
  <si>
    <t>ASHRAE 62 Ventilation Calculations</t>
  </si>
  <si>
    <t>Base Ventilation Rate</t>
  </si>
  <si>
    <t>Demand Control</t>
  </si>
  <si>
    <t>Effective rate With 60% HR</t>
  </si>
  <si>
    <t>space</t>
  </si>
  <si>
    <t>Area Vent Rate</t>
  </si>
  <si>
    <t>per person rate</t>
  </si>
  <si>
    <t>Vent System Eff</t>
  </si>
  <si>
    <t>typical minimum occupancy rate (occ/1000 sf)</t>
  </si>
  <si>
    <t>Ideal Net Minimum Ventilation Rate</t>
  </si>
  <si>
    <t>Ideal Actual Minimum</t>
  </si>
  <si>
    <t>Base</t>
  </si>
  <si>
    <t>DCV</t>
  </si>
  <si>
    <t>retail</t>
  </si>
  <si>
    <t>grocery</t>
  </si>
  <si>
    <t>office</t>
  </si>
  <si>
    <t>Overlap with other measures</t>
  </si>
  <si>
    <t>Verify Cost</t>
  </si>
  <si>
    <t>Review and select equipment life</t>
  </si>
  <si>
    <t>Description</t>
  </si>
  <si>
    <t>Completion</t>
  </si>
  <si>
    <t>Notes</t>
  </si>
  <si>
    <t>From PNL report, excludes metering costs</t>
  </si>
  <si>
    <t>Achievable</t>
  </si>
  <si>
    <t>Site_ID</t>
  </si>
  <si>
    <t>(All)</t>
  </si>
  <si>
    <t>DistSys</t>
  </si>
  <si>
    <t>SZ Ducted</t>
  </si>
  <si>
    <t>Equip_Type</t>
  </si>
  <si>
    <t>(Multiple Items)</t>
  </si>
  <si>
    <t>Sum of Number of PNW Units</t>
  </si>
  <si>
    <t>Sum of Total Regional Hours</t>
  </si>
  <si>
    <t>Sum of Cool_Frac_Sf_PNW</t>
  </si>
  <si>
    <t>Sum of Heat_Frac_Sf_PNW_Heated</t>
  </si>
  <si>
    <t>C</t>
  </si>
  <si>
    <t>UNK</t>
  </si>
  <si>
    <t>Fan_Ctr</t>
  </si>
  <si>
    <t>Apply 35% of the Unknown to Constant Speed</t>
  </si>
  <si>
    <t>Apply 35% to account for constant speed fans</t>
  </si>
  <si>
    <t>This table not used</t>
  </si>
  <si>
    <t>But the results are very close to table below</t>
  </si>
  <si>
    <t>Data for Single-zone ducted, contant speed fan systems</t>
  </si>
  <si>
    <t>RTU and Heat Pumps, excluding AHU and MAU</t>
  </si>
  <si>
    <t>Regional Hours (millions)</t>
  </si>
  <si>
    <t>Regional GWh</t>
  </si>
  <si>
    <t>Total Cost (million $)</t>
  </si>
  <si>
    <t>Rounding for presentation:</t>
  </si>
  <si>
    <t>However, only applies to single zone constant speed fan systems</t>
  </si>
  <si>
    <t>V_PRE2013</t>
  </si>
  <si>
    <t>V_POST2013</t>
  </si>
  <si>
    <t>STOCK 
(named range in Com_Master)</t>
  </si>
  <si>
    <t>Savings are per SF by Btype</t>
  </si>
  <si>
    <t>FROM CBSA PIVOT TABLE</t>
  </si>
  <si>
    <t>Re-organize by size range</t>
  </si>
  <si>
    <t>For reference only</t>
  </si>
  <si>
    <r>
      <t>Advanced controller for rooftop units with single-zone, ducted systems. Retrofitting existing packaged rooftop units (RTUs) with advanced control strategies not ordinarily used for packaged units.  Savings come primarily from fan energy savings by using advanced controls with a variable speed drive.  Applied only to systems with</t>
    </r>
    <r>
      <rPr>
        <u/>
        <sz val="10"/>
        <rFont val="Arial"/>
        <family val="2"/>
      </rPr>
      <t xml:space="preserve"> constant speed fans </t>
    </r>
    <r>
      <rPr>
        <sz val="10"/>
        <rFont val="Arial"/>
        <family val="2"/>
      </rPr>
      <t xml:space="preserve">(variable speed and intermittent excluded). </t>
    </r>
  </si>
  <si>
    <t>Base savings values are per kWh of fan runtime.  The Market Data worksheet identifies the run hours by building type and system size category.  The total savings by building type is then divided by the sf in that building type category to get the kWh/sf savings for that building type.  This includes all applicability factors.</t>
  </si>
  <si>
    <t>Shaped Savings Results; By Category and sorted by TRC BC ratio</t>
  </si>
  <si>
    <t>Savings Allocation by Category and Month for Segments 1</t>
  </si>
  <si>
    <t>Savings Allocation by Category and Month for Segments 2</t>
  </si>
  <si>
    <t>Category</t>
  </si>
  <si>
    <t>Measure</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</si>
  <si>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</si>
  <si>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</si>
  <si>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</si>
  <si>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</si>
  <si>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</si>
  <si>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</si>
  <si>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</si>
  <si>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</si>
  <si>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</si>
  <si>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</si>
  <si>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</si>
  <si>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</si>
  <si>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</si>
  <si>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</si>
  <si>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</si>
  <si>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</si>
  <si>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</si>
  <si>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</si>
  <si>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</si>
  <si>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</si>
  <si>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</si>
  <si>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</si>
  <si>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</si>
  <si>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</si>
  <si>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Advanced Rooftop Controller-Retro-Xlarge Ret</t>
  </si>
  <si>
    <t>Advanced Rooftop Controller-Retro-Large Ret</t>
  </si>
  <si>
    <t>Advanced Rooftop Controller-Retro-Medium Ret</t>
  </si>
  <si>
    <t>Advanced Rooftop Controller-Retro-Small Ret</t>
  </si>
  <si>
    <t>Advanced Rooftop Controller-Retro-Assembly</t>
  </si>
  <si>
    <t>Advanced Rooftop Controller-Retro-Supermarket</t>
  </si>
  <si>
    <t>Advanced Rooftop Controller-Retro-MiniMart</t>
  </si>
  <si>
    <t>Advanced Rooftop Controller-Retro-Restaurant</t>
  </si>
  <si>
    <t>Advanced Rooftop Controller-Retro-Other</t>
  </si>
  <si>
    <t>Advanced Rooftop Controller-Retro-Lodging</t>
  </si>
  <si>
    <t>Advanced Rooftop Controller-Retro-Hospital</t>
  </si>
  <si>
    <t>Advanced Rooftop Controller-Retro-Residential Care</t>
  </si>
  <si>
    <t>Advanced Rooftop Controller-Retro-Large Off</t>
  </si>
  <si>
    <t>Advanced Rooftop Controller-Retro-Medium Off</t>
  </si>
  <si>
    <t>Advanced Rooftop Controller-Retro-Small Off</t>
  </si>
  <si>
    <t>Advanced Rooftop Controller-Retro-Warehouse</t>
  </si>
  <si>
    <t>Advanced Rooftop Controller-Retro-School K-12</t>
  </si>
  <si>
    <t>Advanced Rooftop Controller-Retro-University</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</si>
  <si>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</si>
  <si>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</si>
  <si>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</si>
  <si>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</si>
  <si>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</si>
  <si>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</si>
  <si>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</si>
  <si>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</si>
  <si>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</si>
  <si>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</si>
  <si>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</si>
  <si>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</si>
  <si>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</si>
  <si>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</si>
  <si>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</si>
  <si>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</si>
  <si>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</si>
  <si>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</si>
  <si>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</si>
  <si>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</si>
  <si>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</si>
  <si>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</si>
  <si>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</si>
  <si>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</si>
  <si>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</si>
  <si>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</si>
  <si>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</si>
  <si>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</si>
  <si>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</si>
  <si>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</si>
  <si>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</si>
  <si>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</si>
  <si>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</si>
  <si>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</si>
  <si>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</si>
  <si>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</si>
  <si>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</si>
  <si>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</si>
  <si>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</si>
  <si>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</si>
  <si>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</si>
  <si>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</si>
  <si>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</si>
  <si>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</si>
  <si>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</si>
  <si>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</si>
  <si>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</si>
  <si>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</si>
  <si>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</si>
  <si>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</si>
  <si>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</si>
  <si>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</si>
  <si>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</si>
  <si>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</si>
  <si>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</si>
  <si>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</si>
  <si>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</si>
  <si>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</si>
  <si>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</si>
  <si>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</si>
  <si>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</si>
  <si>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</si>
  <si>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</si>
  <si>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</si>
  <si>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</si>
  <si>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</si>
  <si>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</si>
  <si>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</si>
  <si>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</si>
  <si>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</si>
  <si>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</si>
  <si>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</si>
  <si>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</si>
  <si>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</si>
  <si>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</si>
  <si>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</si>
  <si>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</si>
  <si>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</si>
  <si>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</si>
  <si>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</si>
  <si>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</si>
  <si>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</si>
  <si>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</si>
  <si>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</si>
  <si>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</si>
  <si>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</si>
  <si>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</si>
  <si>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</si>
  <si>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</si>
  <si>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</si>
  <si>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</si>
  <si>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</si>
  <si>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</si>
  <si>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</si>
  <si>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</si>
  <si>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</si>
  <si>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</si>
  <si>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</si>
  <si>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</si>
  <si>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</si>
  <si>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</si>
  <si>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</si>
  <si>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</si>
  <si>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</si>
  <si>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</si>
  <si>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</si>
  <si>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</si>
  <si>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</si>
  <si>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</si>
  <si>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</si>
  <si>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</si>
  <si>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</si>
  <si>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</si>
  <si>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</si>
  <si>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</si>
  <si>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</si>
  <si>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</si>
  <si>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</si>
  <si>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</si>
  <si>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</si>
  <si>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</si>
  <si>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</si>
  <si>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</si>
  <si>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</si>
  <si>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</si>
  <si>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</si>
  <si>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</si>
  <si>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</si>
  <si>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</si>
  <si>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</si>
  <si>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</si>
  <si>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</si>
  <si>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</si>
  <si>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</si>
  <si>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</si>
  <si>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</si>
  <si>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</si>
  <si>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</si>
  <si>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</si>
  <si>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</si>
  <si>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</si>
  <si>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</si>
  <si>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</si>
  <si>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</si>
  <si>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</si>
  <si>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</si>
  <si>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</si>
  <si>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</si>
  <si>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</si>
  <si>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</si>
  <si>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</si>
  <si>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</si>
  <si>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</si>
  <si>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</si>
  <si>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</si>
  <si>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</si>
  <si>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</si>
  <si>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</si>
  <si>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</si>
  <si>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</si>
  <si>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</si>
  <si>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</si>
  <si>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</si>
  <si>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</si>
  <si>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</si>
  <si>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</si>
  <si>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</si>
  <si>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</si>
  <si>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</si>
  <si>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</si>
  <si>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</si>
  <si>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</si>
  <si>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</si>
  <si>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</si>
  <si>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</si>
  <si>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</si>
  <si>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</si>
  <si>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</si>
  <si>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</si>
  <si>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Incremental based on achievability, ramp rate, and applicability</t>
  </si>
  <si>
    <t>Hours/Unit</t>
  </si>
  <si>
    <t>Site</t>
  </si>
  <si>
    <t>Occupancy</t>
  </si>
  <si>
    <t>Hrs_Hvac</t>
  </si>
  <si>
    <t>Hours/Week</t>
  </si>
  <si>
    <t>Hours/Wk HVAC On (averaged across all building spaces)</t>
  </si>
  <si>
    <t>CBSA definition of hours used</t>
  </si>
  <si>
    <t>The primary driver is hours used.  The CBSA data set has a field that indicates how many hours per week the HVAC system is on "Hours/Wk HVAC On (averaged across all building spaces)"</t>
  </si>
  <si>
    <t>Ramp Rate</t>
  </si>
  <si>
    <t>Hrs/Unit</t>
  </si>
  <si>
    <t>BPA measure:</t>
  </si>
  <si>
    <t>2000-4000</t>
  </si>
  <si>
    <t>4001-8760</t>
  </si>
  <si>
    <t>ARC Lite</t>
  </si>
  <si>
    <t>ARC</t>
  </si>
  <si>
    <t>BPA</t>
  </si>
  <si>
    <t>PNNL</t>
  </si>
  <si>
    <t>SF Cooled</t>
  </si>
  <si>
    <t>kWh/SF applicable</t>
  </si>
  <si>
    <t>Hrs/yr</t>
  </si>
  <si>
    <t>regional units</t>
  </si>
  <si>
    <t>kWh</t>
  </si>
  <si>
    <t>Hrs</t>
  </si>
  <si>
    <t>cool sf</t>
  </si>
  <si>
    <t>kWh/sf savings</t>
  </si>
  <si>
    <t>kWh/sf Cooled</t>
  </si>
  <si>
    <t>Savings (kWh/sf)</t>
  </si>
  <si>
    <t>Cost - New  ($/sf)</t>
  </si>
  <si>
    <t>Cost - Retro  ($/sf)</t>
  </si>
  <si>
    <t>Fleet Strategy Ventilation from 6P</t>
  </si>
  <si>
    <t>For Comparison</t>
  </si>
  <si>
    <t>Ramp Rate - Cumulative</t>
  </si>
  <si>
    <t>Costs range from $2950 to $4892 for the standard ARC unit.  BPA has found this to be low, but they also have added requirements.  Also, the ARC-Lite is approximatly 50% of the cost.  This analysis remained with costs from the PNNL report.</t>
  </si>
  <si>
    <t>Done</t>
  </si>
  <si>
    <t>Applicability came directly from CBSA</t>
  </si>
  <si>
    <t>See Codes page</t>
  </si>
  <si>
    <t>Add the University and Hospital Data</t>
  </si>
  <si>
    <t>Applicability handled in savings values; from CBSA</t>
  </si>
  <si>
    <t>&lt;5,001</t>
  </si>
  <si>
    <t>100,001+</t>
  </si>
  <si>
    <t>20,001-50,000</t>
  </si>
  <si>
    <t>5,001-20,000</t>
  </si>
  <si>
    <t>50,001-100,000</t>
  </si>
  <si>
    <t>&gt;50,000</t>
  </si>
  <si>
    <t>5,000 to 50,000</t>
  </si>
  <si>
    <t>&lt;5,000</t>
  </si>
  <si>
    <t>Sum of Sf_PNW_Heated</t>
  </si>
  <si>
    <t>Total SF Heated</t>
  </si>
  <si>
    <t>&gt;100,000</t>
  </si>
  <si>
    <t>50,000 - 100,000</t>
  </si>
  <si>
    <t>5000 - 50,000</t>
  </si>
  <si>
    <t>&lt;5000</t>
  </si>
  <si>
    <t>kWh/Sf</t>
  </si>
  <si>
    <t>Adjustment Factor</t>
  </si>
  <si>
    <t>Sum of Total Regional HVAC System Hours</t>
  </si>
  <si>
    <t>From PNNL Report Summary:</t>
  </si>
  <si>
    <t>Resource Type</t>
  </si>
  <si>
    <t>Measure Category</t>
  </si>
  <si>
    <t>Sector</t>
  </si>
  <si>
    <t>kW per unit</t>
  </si>
  <si>
    <t>kWh per unit</t>
  </si>
  <si>
    <t>TRC Net Levelized Cost (Net of All Benefits)</t>
  </si>
  <si>
    <t>Commercial</t>
  </si>
  <si>
    <t>End-Use:</t>
  </si>
  <si>
    <t>C-All-HVAC-Vent-All-All-E</t>
  </si>
  <si>
    <t>kWh/hr</t>
  </si>
  <si>
    <t>Retrofit only</t>
  </si>
  <si>
    <t>Possbily some from new construction SF, but building codes are supposed to include better control</t>
  </si>
  <si>
    <t>Entire Retail Segment</t>
  </si>
  <si>
    <t>Total Conditioned Offfice SF</t>
  </si>
  <si>
    <t>Conditioned SF</t>
  </si>
  <si>
    <t>Continuous fan, RTU and HP only</t>
  </si>
  <si>
    <t>$/kWh</t>
  </si>
  <si>
    <t>Cost ($)</t>
  </si>
  <si>
    <t>These data to Mmap</t>
  </si>
  <si>
    <t>==&gt;split out by small, medium and large office</t>
  </si>
  <si>
    <t>==&gt;split out by the 4 retail segments</t>
  </si>
  <si>
    <t>Splitting out Office and retail</t>
  </si>
  <si>
    <t>All Commercial buildings with rooftop units, single zone, ducted system with fans operating in constant speed mode (data from CBSA). Excluded systems with fans operating in itermittent mode.  These applicability data are built into the savings values.  Applied to units with &gt; 5 tons cooling capacity because the retrofit is performed on 3-Phase units only (per BPA)</t>
  </si>
  <si>
    <t>&lt;5 ton not good application for this measure, per  Mira at BPA</t>
  </si>
  <si>
    <t xml:space="preserve"> Savings (kWh/yr.)</t>
  </si>
  <si>
    <t xml:space="preserve"> Capital Cost ($)</t>
  </si>
  <si>
    <t>kWh/sf  savings</t>
  </si>
  <si>
    <t>Possible Enhancements</t>
  </si>
  <si>
    <t>Separate by heat type</t>
  </si>
  <si>
    <t>Not enough data</t>
  </si>
  <si>
    <t>Source :PNNL Report</t>
  </si>
  <si>
    <t>Costs are 2012$</t>
  </si>
  <si>
    <t>Removed units smaller than 5 ton</t>
  </si>
  <si>
    <t>v4</t>
  </si>
  <si>
    <t>Q:\SeventhPlan\Conservation Analysis\Global EE Inputs\MC Files\MC_AND_LOADSHAPE_v3.0_24segment-7P-D9 - NewSegValues.xlsx</t>
  </si>
  <si>
    <t>Packaged heating and cooling equipment with constant-speed supply fans is designed to provide ventilation at the design rate at all times when the fan is operating as required by building code. Although there are a number of hours during the day when a building may not be fully occupied or the need for ventilation is lower than designed, the ventilation rate cannot be adjusted easily with a constant speed fan. Studies have shown that demand-based ventilation control can save significant energy in climates that are not favorable for economizing or have significant heating energy loads. Therefore, modulating the supply fan in conjunction with demand controlled ventilation (DCV) will not only reduce the fan energy consumption but also will reduce the heating/cooling energy consumption. (PNNL)</t>
  </si>
  <si>
    <t xml:space="preserve">Pre and post measurements of 66 units in 8 different building types.  The study was conducted by PNNL.  A majority of the savings from this measure comes from fan energy savings.  This study provides savings per ton and per hour of operation.  The system sizes and hours data come from the CBSA.  Note that BPA is conducting some additional research based on the PNNL data. Savings estimates are based  on the PNNL report total savings, including ventilation, heating, and cooling.  </t>
  </si>
  <si>
    <t>Commercial-School-Vent</t>
  </si>
  <si>
    <t>Commercial-Healthcare-Vent</t>
  </si>
  <si>
    <t>Retro3Slow</t>
  </si>
  <si>
    <t>HVAC</t>
  </si>
  <si>
    <t>Advanced Rooftop Controller-Retro-XLarge Ret</t>
  </si>
  <si>
    <t>v5</t>
  </si>
  <si>
    <t>Added the High/Low forecast option</t>
  </si>
  <si>
    <t>File Version:</t>
  </si>
  <si>
    <t>Stock 2016</t>
  </si>
  <si>
    <t>Note:  "&lt;10" is actually 5 - 10 tons, sizes less that 5 were excluded.</t>
  </si>
  <si>
    <t>Thursday, 19 March , 2015 at 9:19 AM</t>
  </si>
</sst>
</file>

<file path=xl/styles.xml><?xml version="1.0" encoding="utf-8"?>
<styleSheet xmlns="http://schemas.openxmlformats.org/spreadsheetml/2006/main">
  <numFmts count="17">
    <numFmt numFmtId="5" formatCode="&quot;$&quot;#,##0_);\(&quot;$&quot;#,##0\)"/>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_(* #,##0.000_);_(* \(#,##0.000\);_(* &quot;-&quot;??_);_(@_)"/>
    <numFmt numFmtId="168" formatCode="0.0000"/>
    <numFmt numFmtId="169" formatCode="_(* #,##0.0_);_(* \(#,##0.0\);_(* &quot;-&quot;?_);_(@_)"/>
    <numFmt numFmtId="170" formatCode="0.000000"/>
    <numFmt numFmtId="171" formatCode="_(&quot;$&quot;* #,##0_);_(&quot;$&quot;* \(#,##0\);_(&quot;$&quot;* &quot;-&quot;??_);_(@_)"/>
    <numFmt numFmtId="172" formatCode="_(* #,##0.0000_);_(* \(#,##0.0000\);_(* &quot;-&quot;??_);_(@_)"/>
    <numFmt numFmtId="173" formatCode="0.0;[Red]\-0.0"/>
    <numFmt numFmtId="174" formatCode="\ "/>
    <numFmt numFmtId="175" formatCode="0.000"/>
    <numFmt numFmtId="176" formatCode="[$-F800]dddd\,\ mmmm\ dd\,\ yyyy"/>
    <numFmt numFmtId="177" formatCode="0.00000"/>
  </numFmts>
  <fonts count="32">
    <font>
      <sz val="10"/>
      <color theme="1"/>
      <name val="Arial"/>
      <family val="2"/>
    </font>
    <font>
      <sz val="10"/>
      <color theme="1"/>
      <name val="Arial"/>
      <family val="2"/>
    </font>
    <font>
      <b/>
      <sz val="10"/>
      <color theme="1"/>
      <name val="Arial"/>
      <family val="2"/>
    </font>
    <font>
      <sz val="10"/>
      <name val="Arial"/>
      <family val="2"/>
    </font>
    <font>
      <b/>
      <sz val="10"/>
      <name val="Arial"/>
      <family val="2"/>
    </font>
    <font>
      <b/>
      <sz val="12"/>
      <name val="Arial"/>
      <family val="2"/>
    </font>
    <font>
      <sz val="10"/>
      <color theme="0" tint="-0.249977111117893"/>
      <name val="Arial"/>
      <family val="2"/>
    </font>
    <font>
      <b/>
      <sz val="11"/>
      <color theme="0"/>
      <name val="Calibri"/>
      <family val="2"/>
      <scheme val="minor"/>
    </font>
    <font>
      <sz val="10"/>
      <color rgb="FFFF0000"/>
      <name val="Arial"/>
      <family val="2"/>
    </font>
    <font>
      <sz val="10"/>
      <color theme="0"/>
      <name val="Arial"/>
      <family val="2"/>
    </font>
    <font>
      <b/>
      <sz val="11"/>
      <color theme="1"/>
      <name val="Calibri"/>
      <family val="2"/>
      <scheme val="minor"/>
    </font>
    <font>
      <sz val="10"/>
      <color indexed="8"/>
      <name val="Arial"/>
      <family val="2"/>
    </font>
    <font>
      <u/>
      <sz val="10"/>
      <color indexed="12"/>
      <name val="Arial"/>
      <family val="2"/>
    </font>
    <font>
      <b/>
      <sz val="10"/>
      <color theme="0"/>
      <name val="Arial"/>
      <family val="2"/>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b/>
      <sz val="8"/>
      <color indexed="81"/>
      <name val="Tahoma"/>
      <family val="2"/>
    </font>
    <font>
      <sz val="8"/>
      <color indexed="81"/>
      <name val="Tahoma"/>
      <family val="2"/>
    </font>
    <font>
      <sz val="10"/>
      <name val="Arial"/>
      <family val="2"/>
    </font>
    <font>
      <u/>
      <sz val="10"/>
      <name val="Arial"/>
      <family val="2"/>
    </font>
    <font>
      <sz val="11"/>
      <color theme="1"/>
      <name val="Calibri"/>
      <family val="2"/>
      <scheme val="minor"/>
    </font>
    <font>
      <sz val="10"/>
      <color indexed="9"/>
      <name val="Arial"/>
      <family val="2"/>
    </font>
    <font>
      <sz val="10"/>
      <color indexed="10"/>
      <name val="Arial"/>
      <family val="2"/>
    </font>
    <font>
      <sz val="9"/>
      <color indexed="81"/>
      <name val="Tahoma"/>
      <family val="2"/>
    </font>
    <font>
      <i/>
      <sz val="10"/>
      <color rgb="FFFF0000"/>
      <name val="Arial"/>
      <family val="2"/>
    </font>
    <font>
      <sz val="10"/>
      <color theme="4"/>
      <name val="Arial"/>
      <family val="2"/>
    </font>
    <font>
      <b/>
      <sz val="9"/>
      <color indexed="81"/>
      <name val="Tahoma"/>
      <family val="2"/>
    </font>
    <font>
      <sz val="11"/>
      <color indexed="8"/>
      <name val="Calibri"/>
      <family val="2"/>
      <scheme val="minor"/>
    </font>
  </fonts>
  <fills count="31">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indexed="43"/>
        <bgColor indexed="64"/>
      </patternFill>
    </fill>
    <fill>
      <patternFill patternType="solid">
        <fgColor indexed="46"/>
        <bgColor indexed="64"/>
      </patternFill>
    </fill>
    <fill>
      <patternFill patternType="solid">
        <fgColor theme="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42"/>
        <bgColor indexed="64"/>
      </patternFill>
    </fill>
    <fill>
      <patternFill patternType="solid">
        <fgColor theme="3" tint="-0.499984740745262"/>
        <bgColor indexed="64"/>
      </patternFill>
    </fill>
    <fill>
      <patternFill patternType="solid">
        <fgColor indexed="57"/>
        <bgColor indexed="64"/>
      </patternFill>
    </fill>
    <fill>
      <patternFill patternType="solid">
        <fgColor indexed="44"/>
        <bgColor indexed="64"/>
      </patternFill>
    </fill>
    <fill>
      <patternFill patternType="solid">
        <fgColor indexed="47"/>
        <bgColor indexed="64"/>
      </patternFill>
    </fill>
    <fill>
      <patternFill patternType="solid">
        <fgColor indexed="60"/>
        <bgColor indexed="64"/>
      </patternFill>
    </fill>
    <fill>
      <patternFill patternType="solid">
        <fgColor indexed="31"/>
        <bgColor indexed="64"/>
      </patternFill>
    </fill>
    <fill>
      <patternFill patternType="solid">
        <fgColor theme="4" tint="0.79998168889431442"/>
        <bgColor theme="4" tint="0.79998168889431442"/>
      </patternFill>
    </fill>
    <fill>
      <patternFill patternType="solid">
        <fgColor indexed="22"/>
      </patternFill>
    </fill>
    <fill>
      <patternFill patternType="solid">
        <fgColor theme="3" tint="-0.249977111117893"/>
        <bgColor indexed="64"/>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lignment readingOrder="1"/>
    </xf>
    <xf numFmtId="0" fontId="3" fillId="0" borderId="0">
      <alignment readingOrder="1"/>
    </xf>
    <xf numFmtId="0" fontId="3" fillId="0" borderId="0"/>
    <xf numFmtId="0" fontId="3" fillId="0" borderId="0"/>
    <xf numFmtId="0" fontId="3" fillId="0" borderId="0"/>
    <xf numFmtId="0" fontId="12" fillId="0" borderId="0" applyNumberFormat="0" applyFill="0" applyBorder="0" applyAlignment="0" applyProtection="0">
      <alignment vertical="top"/>
      <protection locked="0"/>
    </xf>
    <xf numFmtId="0" fontId="14" fillId="0" borderId="0"/>
    <xf numFmtId="0" fontId="3" fillId="0" borderId="0"/>
    <xf numFmtId="0" fontId="3" fillId="0" borderId="0"/>
    <xf numFmtId="0" fontId="24" fillId="0" borderId="0"/>
    <xf numFmtId="43" fontId="3" fillId="0" borderId="0" applyFont="0" applyFill="0" applyBorder="0" applyAlignment="0" applyProtection="0"/>
    <xf numFmtId="44" fontId="15" fillId="0" borderId="0" applyFont="0" applyFill="0" applyBorder="0" applyAlignment="0" applyProtection="0"/>
    <xf numFmtId="0" fontId="3" fillId="0" borderId="0"/>
    <xf numFmtId="0" fontId="31" fillId="28" borderId="0">
      <alignment wrapText="1"/>
    </xf>
    <xf numFmtId="0" fontId="31" fillId="0" borderId="0">
      <alignment wrapText="1"/>
    </xf>
    <xf numFmtId="0" fontId="31" fillId="0" borderId="0">
      <alignment wrapText="1"/>
    </xf>
  </cellStyleXfs>
  <cellXfs count="431">
    <xf numFmtId="0" fontId="0" fillId="0" borderId="0" xfId="0"/>
    <xf numFmtId="3"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Font="1" applyAlignment="1">
      <alignment horizontal="center" wrapText="1"/>
    </xf>
    <xf numFmtId="164" fontId="0" fillId="0" borderId="0" xfId="1" applyNumberFormat="1" applyFont="1"/>
    <xf numFmtId="44" fontId="0" fillId="0" borderId="0" xfId="2" applyFont="1"/>
    <xf numFmtId="44" fontId="2" fillId="2" borderId="0" xfId="2" applyFont="1" applyFill="1"/>
    <xf numFmtId="0" fontId="0" fillId="0" borderId="0" xfId="0" applyAlignment="1">
      <alignment horizontal="right"/>
    </xf>
    <xf numFmtId="44" fontId="0" fillId="0" borderId="0" xfId="0" applyNumberFormat="1"/>
    <xf numFmtId="1" fontId="0" fillId="0" borderId="0" xfId="0" applyNumberFormat="1"/>
    <xf numFmtId="9" fontId="0" fillId="0" borderId="0" xfId="0" applyNumberFormat="1"/>
    <xf numFmtId="9" fontId="0" fillId="0" borderId="0" xfId="3" applyFont="1"/>
    <xf numFmtId="0" fontId="3" fillId="0" borderId="1" xfId="4"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0" fontId="3" fillId="0" borderId="1" xfId="4" applyFont="1" applyBorder="1" applyAlignment="1">
      <alignment horizontal="left" vertical="center" wrapText="1" readingOrder="1"/>
    </xf>
    <xf numFmtId="0" fontId="3" fillId="0" borderId="1" xfId="4" applyNumberFormat="1" applyFont="1" applyBorder="1" applyAlignment="1">
      <alignment horizontal="left" vertical="center" wrapText="1" readingOrder="1"/>
    </xf>
    <xf numFmtId="0" fontId="5" fillId="2" borderId="2" xfId="5" applyFont="1" applyFill="1" applyBorder="1">
      <alignment readingOrder="1"/>
    </xf>
    <xf numFmtId="0" fontId="3" fillId="2" borderId="3" xfId="5" applyFont="1" applyFill="1" applyBorder="1">
      <alignment readingOrder="1"/>
    </xf>
    <xf numFmtId="0" fontId="3" fillId="2" borderId="4" xfId="5" applyFill="1" applyBorder="1">
      <alignment readingOrder="1"/>
    </xf>
    <xf numFmtId="0" fontId="3" fillId="0" borderId="0" xfId="5">
      <alignment readingOrder="1"/>
    </xf>
    <xf numFmtId="0" fontId="4" fillId="2" borderId="1" xfId="4" applyFont="1" applyFill="1" applyBorder="1" applyAlignment="1">
      <alignment horizontal="left" vertical="center" wrapText="1"/>
    </xf>
    <xf numFmtId="0" fontId="4" fillId="3" borderId="1" xfId="4" applyFont="1" applyFill="1" applyBorder="1" applyAlignment="1">
      <alignment horizontal="left" vertical="center" wrapText="1"/>
    </xf>
    <xf numFmtId="0" fontId="3" fillId="0" borderId="0" xfId="5" applyFont="1" applyAlignment="1">
      <alignment wrapText="1" readingOrder="1"/>
    </xf>
    <xf numFmtId="0" fontId="3" fillId="0" borderId="0" xfId="5" applyFont="1">
      <alignment readingOrder="1"/>
    </xf>
    <xf numFmtId="0" fontId="4" fillId="0" borderId="1" xfId="4" applyFont="1" applyBorder="1" applyAlignment="1">
      <alignment horizontal="left" vertical="center" wrapText="1" readingOrder="1"/>
    </xf>
    <xf numFmtId="0" fontId="0" fillId="0" borderId="0" xfId="0" applyFill="1"/>
    <xf numFmtId="1" fontId="0" fillId="0" borderId="0" xfId="0" applyNumberFormat="1" applyFill="1"/>
    <xf numFmtId="165" fontId="0" fillId="0" borderId="0" xfId="0" applyNumberFormat="1" applyFill="1"/>
    <xf numFmtId="9" fontId="0" fillId="0" borderId="0" xfId="0" applyNumberFormat="1" applyFill="1"/>
    <xf numFmtId="9" fontId="0" fillId="0" borderId="0" xfId="3" applyFont="1" applyFill="1"/>
    <xf numFmtId="0" fontId="0" fillId="0" borderId="0" xfId="0" applyFill="1" applyAlignment="1">
      <alignment horizontal="center" wrapText="1"/>
    </xf>
    <xf numFmtId="9" fontId="2" fillId="6" borderId="0" xfId="3" applyFont="1" applyFill="1"/>
    <xf numFmtId="0" fontId="0" fillId="0" borderId="1" xfId="0" applyBorder="1" applyAlignment="1">
      <alignment horizontal="center" wrapText="1"/>
    </xf>
    <xf numFmtId="0" fontId="6" fillId="0" borderId="0" xfId="0" applyFont="1"/>
    <xf numFmtId="3" fontId="6" fillId="0" borderId="0" xfId="0" applyNumberFormat="1" applyFont="1"/>
    <xf numFmtId="0" fontId="6" fillId="5" borderId="0" xfId="0" applyFont="1" applyFill="1"/>
    <xf numFmtId="0" fontId="0" fillId="0" borderId="5" xfId="0" applyBorder="1"/>
    <xf numFmtId="0" fontId="0" fillId="0" borderId="6" xfId="0" applyBorder="1"/>
    <xf numFmtId="0" fontId="0" fillId="0" borderId="7" xfId="0" applyBorder="1"/>
    <xf numFmtId="1" fontId="0" fillId="0" borderId="8" xfId="0" applyNumberFormat="1" applyBorder="1"/>
    <xf numFmtId="0" fontId="0" fillId="0" borderId="0" xfId="0" applyBorder="1"/>
    <xf numFmtId="0" fontId="0" fillId="0" borderId="9" xfId="0" applyBorder="1"/>
    <xf numFmtId="0" fontId="0" fillId="4" borderId="8" xfId="0" applyFill="1" applyBorder="1"/>
    <xf numFmtId="165" fontId="0" fillId="0" borderId="8" xfId="0" applyNumberFormat="1" applyBorder="1"/>
    <xf numFmtId="9" fontId="0" fillId="0" borderId="8" xfId="0" applyNumberFormat="1" applyBorder="1"/>
    <xf numFmtId="0" fontId="0" fillId="0" borderId="8" xfId="0" applyBorder="1"/>
    <xf numFmtId="1" fontId="0" fillId="0" borderId="10" xfId="0" applyNumberFormat="1" applyBorder="1"/>
    <xf numFmtId="0" fontId="0" fillId="0" borderId="11" xfId="0" applyBorder="1"/>
    <xf numFmtId="0" fontId="0" fillId="0" borderId="12" xfId="0" applyBorder="1"/>
    <xf numFmtId="43" fontId="0" fillId="0" borderId="0" xfId="1" applyFont="1"/>
    <xf numFmtId="43" fontId="0" fillId="0" borderId="0" xfId="0" applyNumberFormat="1"/>
    <xf numFmtId="0" fontId="4" fillId="7" borderId="0" xfId="0" applyFont="1" applyFill="1"/>
    <xf numFmtId="0" fontId="0" fillId="7" borderId="0" xfId="0" applyFill="1"/>
    <xf numFmtId="0" fontId="0" fillId="8" borderId="0" xfId="0" applyFill="1"/>
    <xf numFmtId="9" fontId="0" fillId="8" borderId="0" xfId="0" applyNumberFormat="1" applyFill="1"/>
    <xf numFmtId="16" fontId="0" fillId="8" borderId="0" xfId="0" quotePrefix="1" applyNumberFormat="1" applyFill="1"/>
    <xf numFmtId="166" fontId="3" fillId="7" borderId="0" xfId="1" applyNumberFormat="1" applyFont="1" applyFill="1"/>
    <xf numFmtId="166" fontId="3" fillId="8" borderId="0" xfId="1" applyNumberFormat="1" applyFont="1" applyFill="1"/>
    <xf numFmtId="0" fontId="3" fillId="0" borderId="0" xfId="6"/>
    <xf numFmtId="0" fontId="0" fillId="8" borderId="0" xfId="0" applyFill="1" applyAlignment="1">
      <alignment horizontal="right"/>
    </xf>
    <xf numFmtId="1" fontId="0" fillId="8" borderId="0" xfId="0" applyNumberFormat="1" applyFill="1"/>
    <xf numFmtId="167" fontId="3" fillId="0" borderId="0" xfId="1" applyNumberFormat="1" applyFont="1"/>
    <xf numFmtId="0" fontId="0" fillId="0" borderId="1" xfId="0" applyBorder="1"/>
    <xf numFmtId="164" fontId="0" fillId="0" borderId="1" xfId="1" applyNumberFormat="1" applyFont="1" applyBorder="1"/>
    <xf numFmtId="0" fontId="2" fillId="0" borderId="1" xfId="0" applyFont="1" applyBorder="1"/>
    <xf numFmtId="164" fontId="2" fillId="0" borderId="1" xfId="1" applyNumberFormat="1" applyFont="1" applyBorder="1"/>
    <xf numFmtId="164" fontId="2" fillId="0" borderId="1" xfId="0" applyNumberFormat="1" applyFont="1" applyBorder="1"/>
    <xf numFmtId="0" fontId="0" fillId="0" borderId="0" xfId="0" applyAlignment="1">
      <alignment horizontal="center" wrapText="1"/>
    </xf>
    <xf numFmtId="0" fontId="4" fillId="2" borderId="13" xfId="0" applyFont="1" applyFill="1" applyBorder="1">
      <alignment readingOrder="1"/>
    </xf>
    <xf numFmtId="0" fontId="0" fillId="0" borderId="0" xfId="0" applyFill="1">
      <alignment readingOrder="1"/>
    </xf>
    <xf numFmtId="0" fontId="0" fillId="0" borderId="0" xfId="0">
      <alignment readingOrder="1"/>
    </xf>
    <xf numFmtId="0" fontId="0" fillId="2" borderId="14" xfId="0" applyFill="1" applyBorder="1">
      <alignment readingOrder="1"/>
    </xf>
    <xf numFmtId="0" fontId="0" fillId="0" borderId="0" xfId="0" applyFill="1" applyAlignment="1">
      <alignment vertical="center" wrapText="1" readingOrder="1"/>
    </xf>
    <xf numFmtId="0" fontId="4" fillId="2" borderId="14" xfId="0" applyFont="1" applyFill="1" applyBorder="1">
      <alignment readingOrder="1"/>
    </xf>
    <xf numFmtId="49" fontId="0" fillId="2" borderId="10" xfId="0" quotePrefix="1" applyNumberFormat="1" applyFill="1" applyBorder="1">
      <alignment readingOrder="1"/>
    </xf>
    <xf numFmtId="0" fontId="0" fillId="2" borderId="3" xfId="0" applyNumberFormat="1" applyFill="1" applyBorder="1" applyAlignment="1">
      <alignment vertical="center" wrapText="1" readingOrder="1"/>
    </xf>
    <xf numFmtId="0" fontId="0" fillId="2" borderId="4" xfId="0" applyNumberFormat="1" applyFill="1" applyBorder="1" applyAlignment="1">
      <alignment vertical="center" wrapText="1" readingOrder="1"/>
    </xf>
    <xf numFmtId="0" fontId="0" fillId="2" borderId="11" xfId="0" applyNumberFormat="1" applyFill="1" applyBorder="1" applyAlignment="1">
      <alignment vertical="center" wrapText="1" readingOrder="1"/>
    </xf>
    <xf numFmtId="0" fontId="0" fillId="2" borderId="12" xfId="0" applyNumberFormat="1" applyFill="1" applyBorder="1" applyAlignment="1">
      <alignment vertical="center" wrapText="1" readingOrder="1"/>
    </xf>
    <xf numFmtId="0" fontId="0" fillId="3" borderId="0" xfId="0" applyFill="1">
      <alignment readingOrder="1"/>
    </xf>
    <xf numFmtId="1" fontId="0" fillId="0" borderId="0" xfId="0" quotePrefix="1" applyNumberFormat="1">
      <alignment readingOrder="1"/>
    </xf>
    <xf numFmtId="0" fontId="0" fillId="0" borderId="0" xfId="0" quotePrefix="1">
      <alignment readingOrder="1"/>
    </xf>
    <xf numFmtId="1" fontId="0" fillId="0" borderId="0" xfId="0" applyNumberFormat="1" applyFill="1">
      <alignment readingOrder="1"/>
    </xf>
    <xf numFmtId="1" fontId="0" fillId="0" borderId="0" xfId="0" applyNumberFormat="1">
      <alignment readingOrder="1"/>
    </xf>
    <xf numFmtId="164" fontId="0" fillId="0" borderId="0" xfId="1" applyNumberFormat="1" applyFont="1">
      <alignment readingOrder="1"/>
    </xf>
    <xf numFmtId="9" fontId="3" fillId="3" borderId="0" xfId="3" applyFont="1" applyFill="1">
      <alignment readingOrder="1"/>
    </xf>
    <xf numFmtId="164" fontId="0" fillId="0" borderId="0" xfId="1" applyNumberFormat="1" applyFont="1" applyFill="1">
      <alignment readingOrder="1"/>
    </xf>
    <xf numFmtId="2" fontId="0" fillId="0" borderId="0" xfId="0" applyNumberFormat="1">
      <alignment readingOrder="1"/>
    </xf>
    <xf numFmtId="0" fontId="10" fillId="12" borderId="1" xfId="0" applyFont="1" applyFill="1" applyBorder="1"/>
    <xf numFmtId="0" fontId="10" fillId="3" borderId="1" xfId="0" applyFont="1" applyFill="1" applyBorder="1"/>
    <xf numFmtId="0" fontId="10" fillId="3" borderId="5" xfId="0" applyFont="1" applyFill="1" applyBorder="1"/>
    <xf numFmtId="0" fontId="10" fillId="3" borderId="10" xfId="0" applyFont="1" applyFill="1" applyBorder="1"/>
    <xf numFmtId="165" fontId="0" fillId="0" borderId="0" xfId="0" applyNumberFormat="1">
      <alignment readingOrder="1"/>
    </xf>
    <xf numFmtId="165" fontId="0" fillId="0" borderId="0" xfId="0" applyNumberFormat="1" applyAlignment="1">
      <alignment horizontal="center" readingOrder="1"/>
    </xf>
    <xf numFmtId="0" fontId="10" fillId="2" borderId="1" xfId="0" applyFont="1" applyFill="1" applyBorder="1"/>
    <xf numFmtId="0" fontId="0" fillId="2" borderId="4" xfId="0" applyFill="1" applyBorder="1">
      <alignment readingOrder="1"/>
    </xf>
    <xf numFmtId="0" fontId="0" fillId="3" borderId="1" xfId="0" applyFill="1" applyBorder="1">
      <alignment readingOrder="1"/>
    </xf>
    <xf numFmtId="0" fontId="0" fillId="3" borderId="1" xfId="0" applyFill="1" applyBorder="1" applyAlignment="1">
      <alignment horizontal="center" readingOrder="1"/>
    </xf>
    <xf numFmtId="0" fontId="0" fillId="3" borderId="0" xfId="0" applyFill="1" applyAlignment="1">
      <alignment horizontal="center" readingOrder="1"/>
    </xf>
    <xf numFmtId="0" fontId="0" fillId="0" borderId="0" xfId="0" applyFill="1" applyAlignment="1">
      <alignment horizontal="center" readingOrder="1"/>
    </xf>
    <xf numFmtId="43" fontId="0" fillId="0" borderId="0" xfId="1" applyFont="1">
      <alignment readingOrder="1"/>
    </xf>
    <xf numFmtId="0" fontId="0" fillId="12" borderId="1" xfId="0" applyFill="1" applyBorder="1">
      <alignment readingOrder="1"/>
    </xf>
    <xf numFmtId="169" fontId="0" fillId="0" borderId="0" xfId="0" applyNumberFormat="1">
      <alignment readingOrder="1"/>
    </xf>
    <xf numFmtId="0" fontId="10" fillId="11" borderId="1" xfId="0" applyFont="1" applyFill="1" applyBorder="1"/>
    <xf numFmtId="165" fontId="10" fillId="11" borderId="1" xfId="0" applyNumberFormat="1" applyFont="1" applyFill="1" applyBorder="1"/>
    <xf numFmtId="0" fontId="8" fillId="0" borderId="0" xfId="0" applyFont="1">
      <alignment readingOrder="1"/>
    </xf>
    <xf numFmtId="0" fontId="5" fillId="2" borderId="0" xfId="6" applyFont="1" applyFill="1"/>
    <xf numFmtId="0" fontId="3" fillId="3" borderId="1" xfId="7" applyFill="1" applyBorder="1" applyAlignment="1">
      <alignment wrapText="1"/>
    </xf>
    <xf numFmtId="0" fontId="11" fillId="3" borderId="1" xfId="7" applyFont="1" applyFill="1" applyBorder="1" applyAlignment="1">
      <alignment horizontal="center" wrapText="1"/>
    </xf>
    <xf numFmtId="0" fontId="3" fillId="3" borderId="1" xfId="8" applyFill="1" applyBorder="1" applyAlignment="1">
      <alignment wrapText="1"/>
    </xf>
    <xf numFmtId="0" fontId="0" fillId="3" borderId="1" xfId="0" applyFill="1" applyBorder="1" applyAlignment="1">
      <alignment horizontal="left"/>
    </xf>
    <xf numFmtId="0" fontId="3" fillId="0" borderId="0" xfId="7" applyAlignment="1">
      <alignment wrapText="1"/>
    </xf>
    <xf numFmtId="0" fontId="3" fillId="3" borderId="1" xfId="7" applyFill="1" applyBorder="1"/>
    <xf numFmtId="0" fontId="3" fillId="3" borderId="1" xfId="7" applyFont="1" applyFill="1" applyBorder="1"/>
    <xf numFmtId="0" fontId="11" fillId="3" borderId="1" xfId="8" applyFont="1" applyFill="1" applyBorder="1" applyAlignment="1">
      <alignment horizontal="center" wrapText="1"/>
    </xf>
    <xf numFmtId="0" fontId="3" fillId="0" borderId="0" xfId="7"/>
    <xf numFmtId="0" fontId="3" fillId="0" borderId="0" xfId="7" applyFill="1" applyBorder="1"/>
    <xf numFmtId="0" fontId="3" fillId="0" borderId="0" xfId="7" applyFont="1" applyFill="1" applyBorder="1"/>
    <xf numFmtId="1" fontId="3" fillId="0" borderId="0" xfId="7" applyNumberFormat="1" applyFont="1" applyFill="1" applyBorder="1"/>
    <xf numFmtId="9" fontId="3" fillId="0" borderId="0" xfId="3" applyFont="1" applyFill="1" applyBorder="1" applyAlignment="1">
      <alignment horizontal="center"/>
    </xf>
    <xf numFmtId="0" fontId="3" fillId="0" borderId="0" xfId="7" applyFill="1" applyBorder="1" applyAlignment="1">
      <alignment horizontal="center"/>
    </xf>
    <xf numFmtId="0" fontId="3" fillId="0" borderId="0" xfId="7" applyFont="1" applyFill="1"/>
    <xf numFmtId="0" fontId="0" fillId="0" borderId="1" xfId="0" applyBorder="1" applyAlignment="1">
      <alignment horizontal="right"/>
    </xf>
    <xf numFmtId="0" fontId="0" fillId="0" borderId="1" xfId="0" applyBorder="1" applyAlignment="1">
      <alignment horizontal="left"/>
    </xf>
    <xf numFmtId="0" fontId="0" fillId="0" borderId="15" xfId="0" applyBorder="1"/>
    <xf numFmtId="0" fontId="0" fillId="0" borderId="16" xfId="0" applyBorder="1" applyAlignment="1">
      <alignment horizontal="right"/>
    </xf>
    <xf numFmtId="0" fontId="0" fillId="0" borderId="16" xfId="0" applyBorder="1" applyAlignment="1">
      <alignment horizontal="left"/>
    </xf>
    <xf numFmtId="0" fontId="0" fillId="0" borderId="17" xfId="0" applyBorder="1" applyAlignment="1">
      <alignment horizontal="right"/>
    </xf>
    <xf numFmtId="0" fontId="0" fillId="0" borderId="18" xfId="0" applyBorder="1"/>
    <xf numFmtId="0" fontId="0" fillId="0" borderId="19" xfId="0" applyBorder="1" applyAlignment="1">
      <alignment horizontal="right"/>
    </xf>
    <xf numFmtId="0" fontId="0" fillId="0" borderId="20" xfId="0" applyBorder="1"/>
    <xf numFmtId="0" fontId="0" fillId="0" borderId="21" xfId="0" applyBorder="1" applyAlignment="1">
      <alignment horizontal="right"/>
    </xf>
    <xf numFmtId="0" fontId="0" fillId="0" borderId="21" xfId="0" applyBorder="1" applyAlignment="1">
      <alignment horizontal="left"/>
    </xf>
    <xf numFmtId="0" fontId="0" fillId="0" borderId="22" xfId="0" applyBorder="1" applyAlignment="1">
      <alignment horizontal="right"/>
    </xf>
    <xf numFmtId="0" fontId="0" fillId="0" borderId="14" xfId="0" applyBorder="1" applyAlignment="1">
      <alignment horizontal="right"/>
    </xf>
    <xf numFmtId="0" fontId="0" fillId="0" borderId="14" xfId="0" applyBorder="1" applyAlignment="1">
      <alignment horizontal="left"/>
    </xf>
    <xf numFmtId="0" fontId="0" fillId="0" borderId="26" xfId="0" applyBorder="1"/>
    <xf numFmtId="0" fontId="0" fillId="0" borderId="27" xfId="0" applyBorder="1" applyAlignment="1">
      <alignment horizontal="right"/>
    </xf>
    <xf numFmtId="0" fontId="8" fillId="0" borderId="0" xfId="0" applyFont="1"/>
    <xf numFmtId="0" fontId="0" fillId="0" borderId="0" xfId="0" applyAlignment="1">
      <alignment horizontal="center" wrapText="1"/>
    </xf>
    <xf numFmtId="0" fontId="13" fillId="9" borderId="0" xfId="0" applyFont="1" applyFill="1" applyAlignment="1">
      <alignment horizontal="center" wrapText="1"/>
    </xf>
    <xf numFmtId="43" fontId="0" fillId="0" borderId="0" xfId="0" applyNumberFormat="1" applyAlignment="1"/>
    <xf numFmtId="0" fontId="15" fillId="0" borderId="0" xfId="10" applyFont="1"/>
    <xf numFmtId="0" fontId="16" fillId="0" borderId="0" xfId="11" applyFont="1"/>
    <xf numFmtId="0" fontId="3" fillId="0" borderId="0" xfId="10" applyFont="1"/>
    <xf numFmtId="5" fontId="3" fillId="0" borderId="0" xfId="10" applyNumberFormat="1" applyFont="1"/>
    <xf numFmtId="165" fontId="3" fillId="0" borderId="0" xfId="10" applyNumberFormat="1" applyFont="1"/>
    <xf numFmtId="165" fontId="16" fillId="0" borderId="0" xfId="10" applyNumberFormat="1" applyFont="1"/>
    <xf numFmtId="0" fontId="15" fillId="0" borderId="0" xfId="10" applyFont="1" applyAlignment="1">
      <alignment horizontal="left"/>
    </xf>
    <xf numFmtId="170" fontId="0" fillId="0" borderId="0" xfId="0" applyNumberFormat="1" applyAlignment="1">
      <alignment horizontal="center" readingOrder="1"/>
    </xf>
    <xf numFmtId="168" fontId="0" fillId="0" borderId="0" xfId="0" applyNumberFormat="1" applyAlignment="1">
      <alignment horizontal="center" readingOrder="1"/>
    </xf>
    <xf numFmtId="0" fontId="3" fillId="0" borderId="0" xfId="0" applyFont="1">
      <alignment readingOrder="1"/>
    </xf>
    <xf numFmtId="0" fontId="3" fillId="0" borderId="0" xfId="10" applyFont="1" applyAlignment="1">
      <alignment horizontal="center"/>
    </xf>
    <xf numFmtId="0" fontId="17" fillId="14" borderId="5" xfId="10" applyFont="1" applyFill="1" applyBorder="1" applyAlignment="1">
      <alignment horizontal="centerContinuous"/>
    </xf>
    <xf numFmtId="0" fontId="18" fillId="14" borderId="5" xfId="10" applyFont="1" applyFill="1" applyBorder="1" applyAlignment="1">
      <alignment horizontal="centerContinuous"/>
    </xf>
    <xf numFmtId="0" fontId="18" fillId="14" borderId="13" xfId="10" applyFont="1" applyFill="1" applyBorder="1" applyAlignment="1">
      <alignment horizontal="centerContinuous"/>
    </xf>
    <xf numFmtId="0" fontId="19" fillId="14" borderId="4" xfId="10" applyFont="1" applyFill="1" applyBorder="1" applyAlignment="1">
      <alignment horizontal="centerContinuous"/>
    </xf>
    <xf numFmtId="0" fontId="18" fillId="9" borderId="4" xfId="10" applyFont="1" applyFill="1" applyBorder="1" applyAlignment="1">
      <alignment horizontal="center"/>
    </xf>
    <xf numFmtId="0" fontId="18" fillId="0" borderId="0" xfId="10" applyFont="1" applyFill="1" applyBorder="1" applyAlignment="1">
      <alignment horizontal="centerContinuous"/>
    </xf>
    <xf numFmtId="0" fontId="11" fillId="18" borderId="1" xfId="10" applyFont="1" applyFill="1" applyBorder="1" applyAlignment="1">
      <alignment horizontal="center" wrapText="1"/>
    </xf>
    <xf numFmtId="0" fontId="11" fillId="18" borderId="10" xfId="10" applyFont="1" applyFill="1" applyBorder="1" applyAlignment="1">
      <alignment horizontal="center" wrapText="1"/>
    </xf>
    <xf numFmtId="0" fontId="11" fillId="18" borderId="28" xfId="10" applyFont="1" applyFill="1" applyBorder="1" applyAlignment="1">
      <alignment horizontal="center" wrapText="1"/>
    </xf>
    <xf numFmtId="0" fontId="11" fillId="18" borderId="28" xfId="0" applyFont="1" applyFill="1" applyBorder="1" applyAlignment="1">
      <alignment horizontal="center" wrapText="1"/>
    </xf>
    <xf numFmtId="0" fontId="11" fillId="19" borderId="4" xfId="10" applyFont="1" applyFill="1" applyBorder="1" applyAlignment="1">
      <alignment horizontal="center" wrapText="1"/>
    </xf>
    <xf numFmtId="0" fontId="11" fillId="19" borderId="1" xfId="10" applyFont="1" applyFill="1" applyBorder="1" applyAlignment="1">
      <alignment horizontal="center" wrapText="1"/>
    </xf>
    <xf numFmtId="0" fontId="11" fillId="0" borderId="0" xfId="10" applyFont="1" applyFill="1" applyBorder="1" applyAlignment="1">
      <alignment horizontal="center" wrapText="1"/>
    </xf>
    <xf numFmtId="171" fontId="3" fillId="0" borderId="0" xfId="2" applyNumberFormat="1" applyFont="1">
      <alignment readingOrder="1"/>
    </xf>
    <xf numFmtId="0" fontId="3" fillId="0" borderId="0" xfId="5" applyFont="1" applyAlignment="1">
      <alignment horizontal="center" readingOrder="1"/>
    </xf>
    <xf numFmtId="0" fontId="3" fillId="0" borderId="0" xfId="0" applyFont="1" applyAlignment="1">
      <alignment horizontal="center" readingOrder="1"/>
    </xf>
    <xf numFmtId="43" fontId="3" fillId="0" borderId="0" xfId="1" applyFont="1">
      <alignment readingOrder="1"/>
    </xf>
    <xf numFmtId="44" fontId="3" fillId="0" borderId="0" xfId="2" applyNumberFormat="1" applyFont="1">
      <alignment readingOrder="1"/>
    </xf>
    <xf numFmtId="0" fontId="0" fillId="0" borderId="0" xfId="0" applyAlignment="1">
      <alignment wrapText="1"/>
    </xf>
    <xf numFmtId="43" fontId="0" fillId="0" borderId="1" xfId="1" applyFont="1" applyBorder="1"/>
    <xf numFmtId="0" fontId="13" fillId="9" borderId="0" xfId="0" applyFont="1" applyFill="1" applyAlignment="1">
      <alignment horizontal="center"/>
    </xf>
    <xf numFmtId="164" fontId="0" fillId="0" borderId="1" xfId="0" applyNumberFormat="1" applyBorder="1"/>
    <xf numFmtId="3" fontId="0" fillId="0" borderId="1" xfId="0" applyNumberFormat="1" applyBorder="1"/>
    <xf numFmtId="0" fontId="2" fillId="0" borderId="1" xfId="0" applyFont="1" applyBorder="1" applyAlignment="1">
      <alignment horizontal="center"/>
    </xf>
    <xf numFmtId="0" fontId="0" fillId="3" borderId="1" xfId="0" applyFill="1" applyBorder="1" applyAlignment="1">
      <alignment horizontal="center"/>
    </xf>
    <xf numFmtId="164" fontId="0" fillId="3" borderId="1" xfId="1" applyNumberFormat="1" applyFont="1" applyFill="1" applyBorder="1"/>
    <xf numFmtId="0" fontId="22" fillId="18" borderId="1" xfId="6" applyFont="1" applyFill="1" applyBorder="1"/>
    <xf numFmtId="0" fontId="22" fillId="0" borderId="0" xfId="6" applyFont="1"/>
    <xf numFmtId="0" fontId="22" fillId="20" borderId="1" xfId="6" applyFont="1" applyFill="1" applyBorder="1"/>
    <xf numFmtId="0" fontId="22" fillId="0" borderId="0" xfId="6" applyFont="1" applyAlignment="1">
      <alignment horizontal="left" wrapText="1"/>
    </xf>
    <xf numFmtId="0" fontId="0" fillId="18" borderId="1" xfId="0" applyFill="1" applyBorder="1" applyAlignment="1">
      <alignment wrapText="1" readingOrder="1"/>
    </xf>
    <xf numFmtId="0" fontId="22" fillId="18" borderId="1" xfId="6" applyFont="1" applyFill="1" applyBorder="1" applyAlignment="1">
      <alignment wrapText="1"/>
    </xf>
    <xf numFmtId="0" fontId="22" fillId="18" borderId="1" xfId="6" applyFont="1" applyFill="1" applyBorder="1" applyAlignment="1">
      <alignment horizontal="right"/>
    </xf>
    <xf numFmtId="0" fontId="0" fillId="20" borderId="1" xfId="0" applyFill="1" applyBorder="1">
      <alignment readingOrder="1"/>
    </xf>
    <xf numFmtId="43" fontId="22" fillId="20" borderId="1" xfId="1" applyFont="1" applyFill="1" applyBorder="1"/>
    <xf numFmtId="167" fontId="22" fillId="20" borderId="1" xfId="1" applyNumberFormat="1" applyFont="1" applyFill="1" applyBorder="1"/>
    <xf numFmtId="167" fontId="22" fillId="20" borderId="1" xfId="6" applyNumberFormat="1" applyFont="1" applyFill="1" applyBorder="1"/>
    <xf numFmtId="0" fontId="3" fillId="20" borderId="1" xfId="6" applyFont="1" applyFill="1" applyBorder="1" applyAlignment="1">
      <alignment wrapText="1"/>
    </xf>
    <xf numFmtId="0" fontId="0" fillId="0" borderId="1" xfId="0" applyFill="1" applyBorder="1"/>
    <xf numFmtId="0" fontId="9" fillId="9" borderId="0" xfId="0" applyFont="1" applyFill="1" applyAlignment="1">
      <alignment wrapText="1"/>
    </xf>
    <xf numFmtId="0" fontId="9" fillId="9" borderId="0" xfId="0" applyFont="1" applyFill="1" applyAlignment="1">
      <alignment horizontal="center" wrapText="1"/>
    </xf>
    <xf numFmtId="0" fontId="2" fillId="0" borderId="0" xfId="0" applyFont="1"/>
    <xf numFmtId="164" fontId="0" fillId="0" borderId="0" xfId="1" applyNumberFormat="1" applyFont="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166" fontId="0" fillId="0" borderId="6" xfId="1" applyNumberFormat="1" applyFont="1" applyBorder="1"/>
    <xf numFmtId="166" fontId="0" fillId="0" borderId="7" xfId="1" applyNumberFormat="1" applyFont="1" applyBorder="1"/>
    <xf numFmtId="166" fontId="0" fillId="0" borderId="0" xfId="1" applyNumberFormat="1" applyFont="1" applyBorder="1"/>
    <xf numFmtId="166" fontId="0" fillId="0" borderId="9" xfId="1" applyNumberFormat="1" applyFont="1" applyBorder="1"/>
    <xf numFmtId="0" fontId="0" fillId="0" borderId="10" xfId="0" applyBorder="1"/>
    <xf numFmtId="166" fontId="0" fillId="0" borderId="11" xfId="1" applyNumberFormat="1" applyFont="1" applyBorder="1"/>
    <xf numFmtId="166" fontId="0" fillId="0" borderId="12" xfId="1" applyNumberFormat="1" applyFont="1" applyBorder="1"/>
    <xf numFmtId="164" fontId="0" fillId="0" borderId="6" xfId="0" applyNumberFormat="1" applyBorder="1"/>
    <xf numFmtId="164" fontId="0" fillId="0" borderId="7" xfId="0" applyNumberFormat="1" applyBorder="1"/>
    <xf numFmtId="164" fontId="0" fillId="0" borderId="0" xfId="1" applyNumberFormat="1" applyFont="1" applyBorder="1"/>
    <xf numFmtId="164" fontId="0" fillId="0" borderId="9" xfId="1" applyNumberFormat="1" applyFont="1" applyBorder="1"/>
    <xf numFmtId="164" fontId="0" fillId="0" borderId="0" xfId="0" applyNumberFormat="1" applyBorder="1"/>
    <xf numFmtId="164" fontId="0" fillId="0" borderId="9" xfId="0" applyNumberFormat="1" applyBorder="1"/>
    <xf numFmtId="164" fontId="0" fillId="0" borderId="11" xfId="0" applyNumberFormat="1" applyBorder="1"/>
    <xf numFmtId="164" fontId="0" fillId="0" borderId="12" xfId="0" applyNumberFormat="1" applyBorder="1"/>
    <xf numFmtId="0" fontId="0" fillId="0" borderId="8" xfId="0" applyFill="1" applyBorder="1"/>
    <xf numFmtId="0" fontId="0" fillId="13" borderId="8" xfId="0" applyFill="1" applyBorder="1"/>
    <xf numFmtId="43" fontId="0" fillId="13" borderId="0" xfId="0" applyNumberFormat="1" applyFill="1" applyBorder="1"/>
    <xf numFmtId="43" fontId="0" fillId="13" borderId="9" xfId="0" applyNumberFormat="1" applyFill="1" applyBorder="1"/>
    <xf numFmtId="0" fontId="0" fillId="13" borderId="10" xfId="0" applyFill="1" applyBorder="1"/>
    <xf numFmtId="43" fontId="0" fillId="13" borderId="11" xfId="0" applyNumberFormat="1" applyFill="1" applyBorder="1"/>
    <xf numFmtId="43" fontId="0" fillId="13" borderId="12" xfId="0" applyNumberFormat="1" applyFill="1" applyBorder="1"/>
    <xf numFmtId="0" fontId="13" fillId="21" borderId="5" xfId="0" applyFont="1" applyFill="1" applyBorder="1"/>
    <xf numFmtId="0" fontId="9" fillId="21" borderId="6" xfId="0" applyFont="1" applyFill="1" applyBorder="1"/>
    <xf numFmtId="0" fontId="9" fillId="21" borderId="7" xfId="0" applyFont="1" applyFill="1" applyBorder="1"/>
    <xf numFmtId="164" fontId="0" fillId="0" borderId="11" xfId="1" applyNumberFormat="1" applyFont="1" applyBorder="1"/>
    <xf numFmtId="164" fontId="0" fillId="0" borderId="12" xfId="1" applyNumberFormat="1" applyFont="1" applyBorder="1"/>
    <xf numFmtId="0" fontId="7" fillId="21" borderId="1" xfId="0" applyFont="1" applyFill="1" applyBorder="1" applyAlignment="1">
      <alignment horizontal="center" wrapText="1"/>
    </xf>
    <xf numFmtId="0" fontId="7" fillId="21" borderId="0" xfId="0" applyFont="1" applyFill="1" applyBorder="1" applyAlignment="1">
      <alignment horizontal="center" wrapText="1"/>
    </xf>
    <xf numFmtId="0" fontId="13" fillId="21" borderId="0" xfId="0" applyFont="1" applyFill="1" applyAlignment="1">
      <alignment horizontal="center" wrapText="1"/>
    </xf>
    <xf numFmtId="0" fontId="13" fillId="21" borderId="0" xfId="0" applyFont="1" applyFill="1" applyAlignment="1">
      <alignment wrapText="1"/>
    </xf>
    <xf numFmtId="2" fontId="3" fillId="0" borderId="0" xfId="7" applyNumberFormat="1" applyFill="1" applyBorder="1" applyAlignment="1">
      <alignment horizontal="center"/>
    </xf>
    <xf numFmtId="9" fontId="3" fillId="0" borderId="0" xfId="3" applyFont="1" applyFill="1" applyAlignment="1">
      <alignment horizontal="center"/>
    </xf>
    <xf numFmtId="0" fontId="3" fillId="0" borderId="0" xfId="7" applyFill="1"/>
    <xf numFmtId="0" fontId="12" fillId="0" borderId="0" xfId="9" applyFill="1" applyAlignment="1" applyProtection="1"/>
    <xf numFmtId="172" fontId="0" fillId="0" borderId="0" xfId="1" applyNumberFormat="1" applyFont="1"/>
    <xf numFmtId="2" fontId="0" fillId="0" borderId="0" xfId="0" applyNumberFormat="1" applyFill="1" applyAlignment="1">
      <alignment horizontal="center" readingOrder="1"/>
    </xf>
    <xf numFmtId="0" fontId="10" fillId="3" borderId="5" xfId="0" applyFont="1" applyFill="1" applyBorder="1" applyAlignment="1">
      <alignment horizontal="center"/>
    </xf>
    <xf numFmtId="0" fontId="10" fillId="3" borderId="10" xfId="0" applyFont="1" applyFill="1" applyBorder="1" applyAlignment="1">
      <alignment horizontal="center"/>
    </xf>
    <xf numFmtId="0" fontId="24" fillId="0" borderId="0" xfId="13"/>
    <xf numFmtId="0" fontId="25" fillId="22" borderId="2" xfId="0" applyFont="1" applyFill="1" applyBorder="1" applyAlignment="1">
      <alignment horizontal="left" readingOrder="1"/>
    </xf>
    <xf numFmtId="0" fontId="25" fillId="22" borderId="4" xfId="0" applyFont="1" applyFill="1" applyBorder="1" applyAlignment="1">
      <alignment horizontal="center" wrapText="1" readingOrder="1"/>
    </xf>
    <xf numFmtId="0" fontId="11" fillId="23" borderId="1" xfId="0" applyFont="1" applyFill="1" applyBorder="1" applyAlignment="1">
      <alignment horizontal="center" wrapText="1" readingOrder="1"/>
    </xf>
    <xf numFmtId="0" fontId="11" fillId="23" borderId="4" xfId="0" applyFont="1" applyFill="1" applyBorder="1" applyAlignment="1">
      <alignment horizontal="center" wrapText="1" readingOrder="1"/>
    </xf>
    <xf numFmtId="165" fontId="11" fillId="23" borderId="4" xfId="0" applyNumberFormat="1" applyFont="1" applyFill="1" applyBorder="1" applyAlignment="1">
      <alignment horizontal="center" wrapText="1" readingOrder="1"/>
    </xf>
    <xf numFmtId="165" fontId="11" fillId="23" borderId="29" xfId="0" applyNumberFormat="1" applyFont="1" applyFill="1" applyBorder="1" applyAlignment="1">
      <alignment horizontal="centerContinuous" wrapText="1" readingOrder="1"/>
    </xf>
    <xf numFmtId="165" fontId="11" fillId="23" borderId="30" xfId="0" applyNumberFormat="1" applyFont="1" applyFill="1" applyBorder="1" applyAlignment="1">
      <alignment horizontal="centerContinuous" wrapText="1" readingOrder="1"/>
    </xf>
    <xf numFmtId="165" fontId="11" fillId="23" borderId="31" xfId="0" applyNumberFormat="1" applyFont="1" applyFill="1" applyBorder="1" applyAlignment="1">
      <alignment horizontal="centerContinuous" wrapText="1" readingOrder="1"/>
    </xf>
    <xf numFmtId="0" fontId="11" fillId="24" borderId="1" xfId="0" applyFont="1" applyFill="1" applyBorder="1" applyAlignment="1">
      <alignment horizontal="center" wrapText="1" readingOrder="1"/>
    </xf>
    <xf numFmtId="0" fontId="11" fillId="24" borderId="4" xfId="0" applyFont="1" applyFill="1" applyBorder="1" applyAlignment="1">
      <alignment horizontal="center" wrapText="1" readingOrder="1"/>
    </xf>
    <xf numFmtId="165" fontId="11" fillId="24" borderId="4" xfId="0" applyNumberFormat="1" applyFont="1" applyFill="1" applyBorder="1" applyAlignment="1">
      <alignment horizontal="center" wrapText="1" readingOrder="1"/>
    </xf>
    <xf numFmtId="165" fontId="19" fillId="0" borderId="0" xfId="0" applyNumberFormat="1" applyFont="1">
      <alignment readingOrder="1"/>
    </xf>
    <xf numFmtId="165" fontId="26" fillId="0" borderId="0" xfId="0" applyNumberFormat="1" applyFont="1">
      <alignment readingOrder="1"/>
    </xf>
    <xf numFmtId="0" fontId="25" fillId="25" borderId="2" xfId="0" applyFont="1" applyFill="1" applyBorder="1" applyAlignment="1">
      <alignment horizontal="left" wrapText="1" readingOrder="1"/>
    </xf>
    <xf numFmtId="0" fontId="25" fillId="25" borderId="4" xfId="0" applyFont="1" applyFill="1" applyBorder="1" applyAlignment="1">
      <alignment horizontal="center" wrapText="1" readingOrder="1"/>
    </xf>
    <xf numFmtId="0" fontId="25" fillId="22" borderId="3" xfId="0" applyFont="1" applyFill="1" applyBorder="1" applyAlignment="1">
      <alignment horizontal="center" wrapText="1" readingOrder="1"/>
    </xf>
    <xf numFmtId="0" fontId="0" fillId="0" borderId="32" xfId="0" applyBorder="1">
      <alignment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0" xfId="0" applyBorder="1">
      <alignment readingOrder="1"/>
    </xf>
    <xf numFmtId="0" fontId="0" fillId="0" borderId="36" xfId="0" applyBorder="1">
      <alignment readingOrder="1"/>
    </xf>
    <xf numFmtId="0" fontId="0" fillId="0" borderId="37" xfId="0" applyBorder="1">
      <alignment readingOrder="1"/>
    </xf>
    <xf numFmtId="0" fontId="0" fillId="0" borderId="38" xfId="0" applyBorder="1">
      <alignment readingOrder="1"/>
    </xf>
    <xf numFmtId="0" fontId="0" fillId="0" borderId="39" xfId="0" applyBorder="1">
      <alignment readingOrder="1"/>
    </xf>
    <xf numFmtId="0" fontId="11" fillId="26" borderId="40" xfId="0" applyFont="1" applyFill="1" applyBorder="1" applyAlignment="1">
      <alignment horizontal="centerContinuous" wrapText="1" readingOrder="1"/>
    </xf>
    <xf numFmtId="0" fontId="11" fillId="26" borderId="31" xfId="0" applyFont="1" applyFill="1" applyBorder="1" applyAlignment="1">
      <alignment horizontal="centerContinuous" wrapText="1" readingOrder="1"/>
    </xf>
    <xf numFmtId="165" fontId="11" fillId="26" borderId="40" xfId="0" applyNumberFormat="1" applyFont="1" applyFill="1" applyBorder="1" applyAlignment="1">
      <alignment horizontal="centerContinuous" wrapText="1" readingOrder="1"/>
    </xf>
    <xf numFmtId="165" fontId="11" fillId="26" borderId="41" xfId="0" applyNumberFormat="1" applyFont="1" applyFill="1" applyBorder="1" applyAlignment="1">
      <alignment horizontal="centerContinuous" wrapText="1" readingOrder="1"/>
    </xf>
    <xf numFmtId="165" fontId="11" fillId="26" borderId="31" xfId="0" applyNumberFormat="1" applyFont="1" applyFill="1" applyBorder="1" applyAlignment="1">
      <alignment horizontal="centerContinuous" wrapText="1" readingOrder="1"/>
    </xf>
    <xf numFmtId="165" fontId="11" fillId="26" borderId="3" xfId="0" applyNumberFormat="1" applyFont="1" applyFill="1" applyBorder="1" applyAlignment="1">
      <alignment horizontal="center" wrapText="1" readingOrder="1"/>
    </xf>
    <xf numFmtId="173" fontId="11" fillId="24" borderId="4" xfId="0" applyNumberFormat="1" applyFont="1" applyFill="1" applyBorder="1" applyAlignment="1">
      <alignment horizontal="center" wrapText="1" readingOrder="1"/>
    </xf>
    <xf numFmtId="0" fontId="11" fillId="23" borderId="40" xfId="0" applyFont="1" applyFill="1" applyBorder="1" applyAlignment="1">
      <alignment horizontal="centerContinuous" wrapText="1" readingOrder="1"/>
    </xf>
    <xf numFmtId="0" fontId="11" fillId="23" borderId="41" xfId="0" applyFont="1" applyFill="1" applyBorder="1" applyAlignment="1">
      <alignment horizontal="centerContinuous" wrapText="1" readingOrder="1"/>
    </xf>
    <xf numFmtId="165" fontId="11" fillId="23" borderId="41" xfId="0" applyNumberFormat="1" applyFont="1" applyFill="1" applyBorder="1" applyAlignment="1">
      <alignment horizontal="centerContinuous" wrapText="1" readingOrder="1"/>
    </xf>
    <xf numFmtId="165" fontId="11" fillId="23" borderId="3" xfId="0" applyNumberFormat="1" applyFont="1" applyFill="1" applyBorder="1" applyAlignment="1">
      <alignment horizontal="center" wrapText="1" readingOrder="1"/>
    </xf>
    <xf numFmtId="165" fontId="11" fillId="23" borderId="40" xfId="0" applyNumberFormat="1" applyFont="1" applyFill="1" applyBorder="1" applyAlignment="1">
      <alignment horizontal="centerContinuous" wrapText="1" readingOrder="1"/>
    </xf>
    <xf numFmtId="0" fontId="4" fillId="0" borderId="0" xfId="0" applyFont="1">
      <alignment readingOrder="1"/>
    </xf>
    <xf numFmtId="165" fontId="4" fillId="0" borderId="0" xfId="0" applyNumberFormat="1" applyFont="1">
      <alignment readingOrder="1"/>
    </xf>
    <xf numFmtId="174" fontId="4" fillId="0" borderId="0" xfId="0" applyNumberFormat="1" applyFont="1">
      <alignment readingOrder="1"/>
    </xf>
    <xf numFmtId="174" fontId="0" fillId="0" borderId="0" xfId="0" applyNumberFormat="1">
      <alignment readingOrder="1"/>
    </xf>
    <xf numFmtId="174" fontId="26" fillId="0" borderId="0" xfId="0" applyNumberFormat="1" applyFont="1">
      <alignment readingOrder="1"/>
    </xf>
    <xf numFmtId="169" fontId="0" fillId="0" borderId="0" xfId="0" applyNumberFormat="1" applyFill="1" applyBorder="1">
      <alignment readingOrder="1"/>
    </xf>
    <xf numFmtId="0" fontId="0" fillId="0" borderId="0" xfId="0" applyFill="1" applyBorder="1">
      <alignment readingOrder="1"/>
    </xf>
    <xf numFmtId="165" fontId="10" fillId="0" borderId="0" xfId="0" applyNumberFormat="1" applyFont="1" applyFill="1" applyBorder="1"/>
    <xf numFmtId="2" fontId="1" fillId="11" borderId="0" xfId="1" applyNumberFormat="1" applyFont="1" applyFill="1" applyAlignment="1">
      <alignment horizontal="center" readingOrder="1"/>
    </xf>
    <xf numFmtId="1" fontId="1" fillId="11" borderId="0" xfId="0" applyNumberFormat="1" applyFont="1" applyFill="1" applyAlignment="1">
      <alignment horizontal="center" readingOrder="1"/>
    </xf>
    <xf numFmtId="0" fontId="0" fillId="0" borderId="42" xfId="0" applyFont="1" applyFill="1" applyBorder="1"/>
    <xf numFmtId="0" fontId="0" fillId="0" borderId="43" xfId="0" applyFont="1" applyBorder="1"/>
    <xf numFmtId="0" fontId="0" fillId="0" borderId="44" xfId="0" applyFont="1" applyBorder="1"/>
    <xf numFmtId="0" fontId="2" fillId="0" borderId="43" xfId="0" applyFont="1" applyBorder="1"/>
    <xf numFmtId="0" fontId="0" fillId="3" borderId="0" xfId="0" applyFill="1" applyAlignment="1">
      <alignment horizontal="right" readingOrder="1"/>
    </xf>
    <xf numFmtId="9" fontId="0" fillId="0" borderId="0" xfId="0" applyNumberFormat="1">
      <alignment readingOrder="1"/>
    </xf>
    <xf numFmtId="0" fontId="2" fillId="0" borderId="0" xfId="0" applyFont="1" applyFill="1" applyBorder="1">
      <alignment readingOrder="1"/>
    </xf>
    <xf numFmtId="0" fontId="2" fillId="0" borderId="0" xfId="0" applyFont="1">
      <alignment readingOrder="1"/>
    </xf>
    <xf numFmtId="0" fontId="9" fillId="21" borderId="0" xfId="0" applyFont="1" applyFill="1"/>
    <xf numFmtId="9" fontId="9" fillId="21" borderId="0" xfId="0" applyNumberFormat="1" applyFont="1" applyFill="1" applyAlignment="1">
      <alignment horizontal="center"/>
    </xf>
    <xf numFmtId="165" fontId="0" fillId="0" borderId="1" xfId="0" applyNumberFormat="1" applyBorder="1" applyAlignment="1">
      <alignment horizontal="center"/>
    </xf>
    <xf numFmtId="165" fontId="0" fillId="19" borderId="1" xfId="0" applyNumberFormat="1" applyFill="1" applyBorder="1" applyAlignment="1">
      <alignment horizontal="center"/>
    </xf>
    <xf numFmtId="0" fontId="0" fillId="0" borderId="0" xfId="0" applyAlignment="1">
      <alignment horizontal="center" wrapText="1"/>
    </xf>
    <xf numFmtId="9" fontId="9" fillId="10" borderId="0" xfId="0" applyNumberFormat="1" applyFont="1" applyFill="1">
      <alignment readingOrder="1"/>
    </xf>
    <xf numFmtId="164" fontId="9" fillId="0" borderId="0" xfId="1" applyNumberFormat="1" applyFont="1" applyFill="1">
      <alignment readingOrder="1"/>
    </xf>
    <xf numFmtId="164" fontId="0" fillId="0" borderId="0" xfId="0" applyNumberFormat="1"/>
    <xf numFmtId="43" fontId="0" fillId="0" borderId="0" xfId="1" applyNumberFormat="1" applyFont="1"/>
    <xf numFmtId="0" fontId="4" fillId="0" borderId="0" xfId="0" applyFont="1"/>
    <xf numFmtId="0" fontId="0" fillId="20" borderId="0" xfId="0" applyFill="1"/>
    <xf numFmtId="43" fontId="0" fillId="20" borderId="0" xfId="0" applyNumberFormat="1" applyFill="1"/>
    <xf numFmtId="43" fontId="16" fillId="0" borderId="0" xfId="0" applyNumberFormat="1" applyFont="1" applyFill="1"/>
    <xf numFmtId="43" fontId="16" fillId="0" borderId="0" xfId="1" applyFont="1"/>
    <xf numFmtId="0" fontId="0" fillId="0" borderId="0" xfId="0" applyAlignment="1">
      <alignment horizontal="center" wrapText="1"/>
    </xf>
    <xf numFmtId="0" fontId="28" fillId="0" borderId="0" xfId="0" applyFont="1" applyBorder="1"/>
    <xf numFmtId="164" fontId="8" fillId="0" borderId="0" xfId="1" applyNumberFormat="1" applyFont="1"/>
    <xf numFmtId="164" fontId="0" fillId="0" borderId="0" xfId="1" applyNumberFormat="1" applyFont="1" applyAlignment="1">
      <alignment horizontal="center"/>
    </xf>
    <xf numFmtId="0" fontId="3" fillId="0" borderId="6" xfId="0" applyFont="1" applyBorder="1"/>
    <xf numFmtId="0" fontId="3" fillId="0" borderId="6" xfId="0" applyFont="1" applyBorder="1" applyAlignment="1">
      <alignment horizontal="center"/>
    </xf>
    <xf numFmtId="0" fontId="3" fillId="0" borderId="0" xfId="0" applyFont="1" applyBorder="1"/>
    <xf numFmtId="0" fontId="3" fillId="0" borderId="0" xfId="0" applyFont="1" applyBorder="1" applyAlignment="1">
      <alignment horizontal="center"/>
    </xf>
    <xf numFmtId="0" fontId="3" fillId="0" borderId="0" xfId="0" applyFont="1" applyFill="1" applyBorder="1"/>
    <xf numFmtId="164" fontId="29" fillId="0" borderId="0" xfId="0" applyNumberFormat="1" applyFont="1"/>
    <xf numFmtId="164" fontId="29" fillId="0" borderId="0" xfId="1" applyNumberFormat="1" applyFont="1"/>
    <xf numFmtId="0" fontId="10" fillId="27" borderId="45" xfId="0" applyFont="1" applyFill="1" applyBorder="1"/>
    <xf numFmtId="164" fontId="10" fillId="27" borderId="46" xfId="0" applyNumberFormat="1" applyFont="1" applyFill="1" applyBorder="1"/>
    <xf numFmtId="0" fontId="10" fillId="27" borderId="46" xfId="0" applyFont="1" applyFill="1" applyBorder="1"/>
    <xf numFmtId="175" fontId="0" fillId="0" borderId="0" xfId="0" applyNumberFormat="1"/>
    <xf numFmtId="0" fontId="10" fillId="3" borderId="6" xfId="0" applyFont="1" applyFill="1" applyBorder="1"/>
    <xf numFmtId="0" fontId="10" fillId="3" borderId="7" xfId="0" applyFont="1" applyFill="1" applyBorder="1"/>
    <xf numFmtId="0" fontId="10" fillId="3" borderId="11" xfId="0" applyFont="1" applyFill="1" applyBorder="1"/>
    <xf numFmtId="0" fontId="10" fillId="3" borderId="12" xfId="0" applyFont="1" applyFill="1" applyBorder="1"/>
    <xf numFmtId="176" fontId="11" fillId="24" borderId="4" xfId="0" applyNumberFormat="1" applyFont="1" applyFill="1" applyBorder="1" applyAlignment="1">
      <alignment horizontal="center" wrapText="1" readingOrder="1"/>
    </xf>
    <xf numFmtId="14" fontId="11" fillId="24" borderId="4" xfId="0" applyNumberFormat="1" applyFont="1" applyFill="1" applyBorder="1" applyAlignment="1">
      <alignment horizontal="center" wrapText="1" readingOrder="1"/>
    </xf>
    <xf numFmtId="0" fontId="10" fillId="12" borderId="1" xfId="0" applyFont="1" applyFill="1" applyBorder="1" applyAlignment="1">
      <alignment horizontal="center"/>
    </xf>
    <xf numFmtId="43" fontId="0" fillId="19" borderId="0" xfId="14" applyFont="1" applyFill="1" applyAlignment="1">
      <alignment horizontal="center" readingOrder="1"/>
    </xf>
    <xf numFmtId="168" fontId="0" fillId="3" borderId="0" xfId="0" applyNumberFormat="1" applyFill="1" applyAlignment="1">
      <alignment horizontal="center" readingOrder="1"/>
    </xf>
    <xf numFmtId="1" fontId="0" fillId="3" borderId="0" xfId="0" applyNumberFormat="1" applyFill="1" applyAlignment="1">
      <alignment horizontal="center" readingOrder="1"/>
    </xf>
    <xf numFmtId="0" fontId="10" fillId="3" borderId="13" xfId="0" applyFont="1" applyFill="1" applyBorder="1"/>
    <xf numFmtId="0" fontId="10" fillId="0" borderId="0" xfId="0" applyFont="1" applyFill="1" applyBorder="1"/>
    <xf numFmtId="0" fontId="10" fillId="0" borderId="0" xfId="0" applyFont="1" applyFill="1" applyBorder="1" applyAlignment="1">
      <alignment horizontal="center"/>
    </xf>
    <xf numFmtId="168" fontId="0" fillId="0" borderId="0" xfId="0" applyNumberFormat="1" applyFill="1" applyBorder="1" applyAlignment="1">
      <alignment horizontal="center" readingOrder="1"/>
    </xf>
    <xf numFmtId="1" fontId="0" fillId="0" borderId="0" xfId="0" applyNumberFormat="1" applyFill="1" applyBorder="1" applyAlignment="1">
      <alignment horizontal="center" readingOrder="1"/>
    </xf>
    <xf numFmtId="165" fontId="0" fillId="0" borderId="0" xfId="0" applyNumberFormat="1" applyFill="1" applyBorder="1">
      <alignment readingOrder="1"/>
    </xf>
    <xf numFmtId="43" fontId="0" fillId="0" borderId="0" xfId="14" applyFont="1" applyFill="1" applyBorder="1" applyAlignment="1">
      <alignment horizontal="center" readingOrder="1"/>
    </xf>
    <xf numFmtId="0" fontId="0" fillId="3" borderId="5" xfId="0" applyFill="1" applyBorder="1">
      <alignment readingOrder="1"/>
    </xf>
    <xf numFmtId="0" fontId="0" fillId="3" borderId="8" xfId="0" applyFill="1" applyBorder="1">
      <alignment readingOrder="1"/>
    </xf>
    <xf numFmtId="0" fontId="0" fillId="3" borderId="10" xfId="0" applyFill="1" applyBorder="1">
      <alignment readingOrder="1"/>
    </xf>
    <xf numFmtId="0" fontId="0" fillId="3" borderId="6" xfId="0" applyFill="1" applyBorder="1">
      <alignment readingOrder="1"/>
    </xf>
    <xf numFmtId="0" fontId="9" fillId="10" borderId="6" xfId="0" applyFont="1" applyFill="1" applyBorder="1">
      <alignment readingOrder="1"/>
    </xf>
    <xf numFmtId="0" fontId="9" fillId="10" borderId="7" xfId="0" applyFont="1" applyFill="1" applyBorder="1">
      <alignment readingOrder="1"/>
    </xf>
    <xf numFmtId="0" fontId="0" fillId="3" borderId="0" xfId="0" applyFill="1" applyBorder="1">
      <alignment readingOrder="1"/>
    </xf>
    <xf numFmtId="0" fontId="9" fillId="10" borderId="0" xfId="0" applyFont="1" applyFill="1" applyBorder="1">
      <alignment readingOrder="1"/>
    </xf>
    <xf numFmtId="0" fontId="9" fillId="10" borderId="9" xfId="0" applyFont="1" applyFill="1" applyBorder="1">
      <alignment readingOrder="1"/>
    </xf>
    <xf numFmtId="0" fontId="0" fillId="3" borderId="0" xfId="0" applyFill="1" applyBorder="1" applyAlignment="1">
      <alignment vertical="center" wrapText="1" readingOrder="1"/>
    </xf>
    <xf numFmtId="0" fontId="0" fillId="3" borderId="11" xfId="0" applyFill="1" applyBorder="1">
      <alignment readingOrder="1"/>
    </xf>
    <xf numFmtId="165" fontId="2" fillId="11" borderId="11" xfId="0" applyNumberFormat="1" applyFont="1" applyFill="1" applyBorder="1" applyAlignment="1">
      <alignment horizontal="center" readingOrder="1"/>
    </xf>
    <xf numFmtId="0" fontId="0" fillId="0" borderId="0" xfId="0" applyAlignment="1">
      <alignment horizontal="center" wrapText="1"/>
    </xf>
    <xf numFmtId="43" fontId="0" fillId="0" borderId="0" xfId="0" applyNumberFormat="1" applyAlignment="1">
      <alignment wrapText="1"/>
    </xf>
    <xf numFmtId="43" fontId="8" fillId="0" borderId="0" xfId="1" applyFont="1" applyFill="1"/>
    <xf numFmtId="0" fontId="0" fillId="0" borderId="11" xfId="0" applyFill="1" applyBorder="1" applyAlignment="1">
      <alignment horizontal="center" wrapText="1"/>
    </xf>
    <xf numFmtId="0" fontId="10" fillId="0" borderId="11" xfId="0" applyFont="1" applyFill="1" applyBorder="1"/>
    <xf numFmtId="0" fontId="0" fillId="0" borderId="11" xfId="0" applyFill="1" applyBorder="1"/>
    <xf numFmtId="0" fontId="2" fillId="0" borderId="0" xfId="0" applyFont="1" applyAlignment="1"/>
    <xf numFmtId="0" fontId="0" fillId="0" borderId="0" xfId="0" quotePrefix="1"/>
    <xf numFmtId="0" fontId="3" fillId="0" borderId="0" xfId="0" quotePrefix="1" applyFont="1" applyFill="1" applyBorder="1"/>
    <xf numFmtId="0" fontId="13" fillId="29" borderId="0" xfId="0" applyFont="1" applyFill="1"/>
    <xf numFmtId="0" fontId="13" fillId="29" borderId="0" xfId="0" applyFont="1" applyFill="1" applyAlignment="1">
      <alignment horizontal="center" wrapText="1"/>
    </xf>
    <xf numFmtId="0" fontId="9" fillId="29" borderId="0" xfId="0" applyFont="1" applyFill="1" applyAlignment="1">
      <alignment horizontal="center" wrapText="1"/>
    </xf>
    <xf numFmtId="172" fontId="8" fillId="0" borderId="0" xfId="1" applyNumberFormat="1" applyFont="1" applyFill="1"/>
    <xf numFmtId="172" fontId="0" fillId="0" borderId="0" xfId="1" applyNumberFormat="1" applyFont="1" applyFill="1"/>
    <xf numFmtId="43" fontId="0" fillId="0" borderId="0" xfId="1" applyFont="1" applyFill="1"/>
    <xf numFmtId="0" fontId="2" fillId="30" borderId="0" xfId="0" applyFont="1" applyFill="1"/>
    <xf numFmtId="0" fontId="0" fillId="30" borderId="0" xfId="0" applyFill="1"/>
    <xf numFmtId="164" fontId="0" fillId="0" borderId="0" xfId="0" applyNumberFormat="1">
      <alignment readingOrder="1"/>
    </xf>
    <xf numFmtId="0" fontId="0" fillId="19" borderId="0" xfId="0" applyFill="1"/>
    <xf numFmtId="0" fontId="0" fillId="19" borderId="0" xfId="0" applyFill="1" applyAlignment="1">
      <alignment horizontal="center"/>
    </xf>
    <xf numFmtId="3" fontId="0" fillId="19" borderId="0" xfId="0" applyNumberFormat="1" applyFill="1"/>
    <xf numFmtId="164" fontId="0" fillId="19" borderId="0" xfId="1" applyNumberFormat="1" applyFont="1" applyFill="1"/>
    <xf numFmtId="0" fontId="0" fillId="0" borderId="0" xfId="0" applyAlignment="1">
      <alignment horizontal="center" wrapText="1"/>
    </xf>
    <xf numFmtId="0" fontId="0" fillId="0" borderId="6" xfId="0" applyBorder="1" applyAlignment="1">
      <alignment horizontal="center"/>
    </xf>
    <xf numFmtId="0" fontId="0" fillId="0" borderId="0" xfId="0" applyBorder="1" applyAlignment="1">
      <alignment horizontal="center"/>
    </xf>
    <xf numFmtId="166" fontId="0" fillId="0" borderId="6" xfId="1" applyNumberFormat="1" applyFont="1" applyBorder="1" applyAlignment="1">
      <alignment horizontal="center"/>
    </xf>
    <xf numFmtId="166" fontId="0" fillId="0" borderId="0" xfId="1" applyNumberFormat="1" applyFont="1" applyBorder="1" applyAlignment="1">
      <alignment horizontal="center"/>
    </xf>
    <xf numFmtId="166" fontId="0" fillId="0" borderId="11" xfId="1" applyNumberFormat="1" applyFont="1" applyBorder="1" applyAlignment="1">
      <alignment horizontal="center"/>
    </xf>
    <xf numFmtId="164" fontId="0" fillId="0" borderId="6" xfId="0" applyNumberFormat="1" applyBorder="1" applyAlignment="1">
      <alignment horizontal="center"/>
    </xf>
    <xf numFmtId="164" fontId="0" fillId="0" borderId="0" xfId="1" applyNumberFormat="1" applyFont="1" applyBorder="1" applyAlignment="1">
      <alignment horizontal="center"/>
    </xf>
    <xf numFmtId="164" fontId="0" fillId="0" borderId="0" xfId="0" applyNumberFormat="1" applyBorder="1" applyAlignment="1">
      <alignment horizontal="center"/>
    </xf>
    <xf numFmtId="164" fontId="0" fillId="0" borderId="11" xfId="0" applyNumberFormat="1" applyBorder="1" applyAlignment="1">
      <alignment horizontal="center"/>
    </xf>
    <xf numFmtId="0" fontId="0" fillId="0" borderId="11" xfId="0" applyBorder="1" applyAlignment="1">
      <alignment horizontal="center"/>
    </xf>
    <xf numFmtId="164" fontId="0" fillId="0" borderId="11" xfId="1" applyNumberFormat="1" applyFont="1" applyBorder="1" applyAlignment="1">
      <alignment horizontal="center"/>
    </xf>
    <xf numFmtId="0" fontId="9" fillId="21" borderId="6" xfId="0" applyFont="1" applyFill="1" applyBorder="1" applyAlignment="1">
      <alignment horizontal="center"/>
    </xf>
    <xf numFmtId="43" fontId="0" fillId="13" borderId="0" xfId="0" applyNumberFormat="1" applyFill="1" applyBorder="1" applyAlignment="1">
      <alignment horizontal="center"/>
    </xf>
    <xf numFmtId="43" fontId="0" fillId="13" borderId="11" xfId="0" applyNumberFormat="1" applyFill="1" applyBorder="1" applyAlignment="1">
      <alignment horizontal="center"/>
    </xf>
    <xf numFmtId="0" fontId="3" fillId="0" borderId="0" xfId="5" applyFont="1" applyAlignment="1">
      <alignment horizontal="right" readingOrder="1"/>
    </xf>
    <xf numFmtId="165" fontId="11" fillId="24" borderId="3" xfId="0" applyNumberFormat="1" applyFont="1" applyFill="1" applyBorder="1" applyAlignment="1">
      <alignment horizontal="center" wrapText="1" readingOrder="1"/>
    </xf>
    <xf numFmtId="176" fontId="11" fillId="0" borderId="0" xfId="0" applyNumberFormat="1" applyFont="1" applyFill="1" applyBorder="1" applyAlignment="1">
      <alignment horizontal="center" wrapText="1" readingOrder="1"/>
    </xf>
    <xf numFmtId="14" fontId="11" fillId="0" borderId="0" xfId="0" applyNumberFormat="1" applyFont="1" applyFill="1" applyBorder="1" applyAlignment="1">
      <alignment horizontal="center" wrapText="1" readingOrder="1"/>
    </xf>
    <xf numFmtId="165" fontId="11" fillId="0" borderId="0" xfId="0" applyNumberFormat="1" applyFont="1" applyFill="1" applyBorder="1" applyAlignment="1">
      <alignment horizontal="center" wrapText="1" readingOrder="1"/>
    </xf>
    <xf numFmtId="0" fontId="0" fillId="0" borderId="0" xfId="0" applyFill="1" applyBorder="1"/>
    <xf numFmtId="177" fontId="0" fillId="0" borderId="0" xfId="0" applyNumberFormat="1"/>
    <xf numFmtId="0" fontId="0" fillId="11" borderId="12" xfId="0" applyFill="1" applyBorder="1">
      <alignment readingOrder="1"/>
    </xf>
    <xf numFmtId="0" fontId="3" fillId="2" borderId="5" xfId="0" applyNumberFormat="1" applyFont="1" applyFill="1" applyBorder="1" applyAlignment="1">
      <alignment horizontal="left" vertical="center" wrapText="1" readingOrder="1"/>
    </xf>
    <xf numFmtId="0" fontId="3" fillId="2" borderId="6" xfId="0" applyNumberFormat="1" applyFont="1" applyFill="1" applyBorder="1" applyAlignment="1">
      <alignment horizontal="left" vertical="center" wrapText="1" readingOrder="1"/>
    </xf>
    <xf numFmtId="0" fontId="3" fillId="2" borderId="7" xfId="0" applyNumberFormat="1" applyFont="1" applyFill="1" applyBorder="1" applyAlignment="1">
      <alignment horizontal="left" vertical="center" wrapText="1" readingOrder="1"/>
    </xf>
    <xf numFmtId="0" fontId="3" fillId="2" borderId="8" xfId="0" applyNumberFormat="1" applyFont="1" applyFill="1" applyBorder="1" applyAlignment="1">
      <alignment horizontal="left" vertical="center" wrapText="1" readingOrder="1"/>
    </xf>
    <xf numFmtId="0" fontId="3" fillId="2" borderId="0" xfId="0" applyNumberFormat="1" applyFont="1" applyFill="1" applyBorder="1" applyAlignment="1">
      <alignment horizontal="left" vertical="center" wrapText="1" readingOrder="1"/>
    </xf>
    <xf numFmtId="0" fontId="3" fillId="2" borderId="9" xfId="0" applyNumberFormat="1" applyFont="1" applyFill="1" applyBorder="1" applyAlignment="1">
      <alignment horizontal="left" vertical="center" wrapText="1" readingOrder="1"/>
    </xf>
    <xf numFmtId="0" fontId="3" fillId="2" borderId="11" xfId="0" applyNumberFormat="1" applyFont="1" applyFill="1" applyBorder="1" applyAlignment="1">
      <alignment horizontal="left" vertical="center" wrapText="1" readingOrder="1"/>
    </xf>
    <xf numFmtId="0" fontId="3" fillId="2" borderId="12" xfId="0" applyNumberFormat="1" applyFont="1" applyFill="1" applyBorder="1" applyAlignment="1">
      <alignment horizontal="left" vertical="center" wrapText="1" readingOrder="1"/>
    </xf>
    <xf numFmtId="0" fontId="11" fillId="15" borderId="2" xfId="10" applyFont="1" applyFill="1" applyBorder="1" applyAlignment="1">
      <alignment horizontal="center"/>
    </xf>
    <xf numFmtId="0" fontId="11" fillId="15" borderId="3" xfId="10" applyFont="1" applyFill="1" applyBorder="1" applyAlignment="1">
      <alignment horizontal="center"/>
    </xf>
    <xf numFmtId="0" fontId="11" fillId="15" borderId="4" xfId="10" applyFont="1" applyFill="1" applyBorder="1" applyAlignment="1">
      <alignment horizontal="center"/>
    </xf>
    <xf numFmtId="0" fontId="17" fillId="16" borderId="1" xfId="0" applyFont="1" applyFill="1" applyBorder="1" applyAlignment="1">
      <alignment horizontal="center"/>
    </xf>
    <xf numFmtId="0" fontId="4" fillId="0" borderId="1" xfId="0" applyFont="1" applyBorder="1" applyAlignment="1">
      <alignment horizontal="center"/>
    </xf>
    <xf numFmtId="0" fontId="4" fillId="17" borderId="1" xfId="10" applyFont="1" applyFill="1" applyBorder="1" applyAlignment="1">
      <alignment horizontal="center"/>
    </xf>
    <xf numFmtId="0" fontId="13" fillId="21" borderId="23" xfId="0" applyFont="1" applyFill="1" applyBorder="1" applyAlignment="1">
      <alignment horizontal="center"/>
    </xf>
    <xf numFmtId="0" fontId="13" fillId="21" borderId="24" xfId="0" applyFont="1" applyFill="1" applyBorder="1" applyAlignment="1">
      <alignment horizontal="center"/>
    </xf>
    <xf numFmtId="0" fontId="13" fillId="21" borderId="25" xfId="0" applyFont="1" applyFill="1" applyBorder="1" applyAlignment="1">
      <alignment horizontal="center"/>
    </xf>
    <xf numFmtId="0" fontId="0" fillId="0" borderId="0" xfId="0" applyAlignment="1">
      <alignment horizontal="center" wrapText="1"/>
    </xf>
    <xf numFmtId="0" fontId="6" fillId="0" borderId="1" xfId="0" applyFont="1" applyBorder="1" applyAlignment="1">
      <alignment horizontal="center"/>
    </xf>
    <xf numFmtId="0" fontId="0" fillId="18" borderId="1" xfId="0" applyFill="1" applyBorder="1" applyAlignment="1">
      <alignment horizontal="left" readingOrder="1"/>
    </xf>
    <xf numFmtId="0" fontId="0" fillId="18" borderId="1" xfId="0" applyFill="1" applyBorder="1" applyAlignment="1">
      <alignment horizontal="center" readingOrder="1"/>
    </xf>
    <xf numFmtId="0" fontId="22" fillId="18" borderId="1" xfId="6" applyFont="1" applyFill="1" applyBorder="1" applyAlignment="1">
      <alignment horizontal="left"/>
    </xf>
    <xf numFmtId="0" fontId="3" fillId="20" borderId="2" xfId="6" applyFont="1" applyFill="1" applyBorder="1" applyAlignment="1">
      <alignment horizontal="left" wrapText="1"/>
    </xf>
    <xf numFmtId="0" fontId="3" fillId="20" borderId="3" xfId="6" applyFont="1" applyFill="1" applyBorder="1" applyAlignment="1">
      <alignment horizontal="left" wrapText="1"/>
    </xf>
    <xf numFmtId="0" fontId="3" fillId="20" borderId="4" xfId="6" applyFont="1" applyFill="1" applyBorder="1" applyAlignment="1">
      <alignment horizontal="left" wrapText="1"/>
    </xf>
    <xf numFmtId="0" fontId="3" fillId="20" borderId="2" xfId="6" applyFont="1" applyFill="1" applyBorder="1" applyAlignment="1">
      <alignment horizontal="center" wrapText="1"/>
    </xf>
    <xf numFmtId="0" fontId="3" fillId="20" borderId="3" xfId="6" applyFont="1" applyFill="1" applyBorder="1" applyAlignment="1">
      <alignment horizontal="center" wrapText="1"/>
    </xf>
    <xf numFmtId="0" fontId="3" fillId="20" borderId="4" xfId="6" applyFont="1" applyFill="1" applyBorder="1" applyAlignment="1">
      <alignment horizontal="center" wrapText="1"/>
    </xf>
    <xf numFmtId="0" fontId="22" fillId="18" borderId="8" xfId="6" applyFont="1" applyFill="1" applyBorder="1" applyAlignment="1">
      <alignment horizontal="center"/>
    </xf>
    <xf numFmtId="0" fontId="22" fillId="18" borderId="9" xfId="6" applyFont="1" applyFill="1" applyBorder="1" applyAlignment="1">
      <alignment horizontal="center"/>
    </xf>
    <xf numFmtId="0" fontId="22" fillId="18" borderId="0" xfId="6" applyFont="1" applyFill="1" applyBorder="1" applyAlignment="1">
      <alignment horizontal="center"/>
    </xf>
    <xf numFmtId="0" fontId="22" fillId="18" borderId="1" xfId="6" applyFont="1" applyFill="1" applyBorder="1" applyAlignment="1">
      <alignment horizontal="center"/>
    </xf>
    <xf numFmtId="0" fontId="0" fillId="7" borderId="0" xfId="0" applyFill="1" applyAlignment="1">
      <alignment horizontal="left" wrapText="1"/>
    </xf>
  </cellXfs>
  <cellStyles count="20">
    <cellStyle name="Comma" xfId="1" builtinId="3"/>
    <cellStyle name="Comma 2" xfId="14"/>
    <cellStyle name="Currency" xfId="2" builtinId="4"/>
    <cellStyle name="Currency 2" xfId="15"/>
    <cellStyle name="Hyperlink" xfId="9" builtinId="8"/>
    <cellStyle name="Normal" xfId="0" builtinId="0"/>
    <cellStyle name="Normal 13" xfId="5"/>
    <cellStyle name="Normal 14" xfId="13"/>
    <cellStyle name="Normal 2" xfId="16"/>
    <cellStyle name="Normal 3" xfId="12"/>
    <cellStyle name="Normal_MTDUCT" xfId="10"/>
    <cellStyle name="Normal_PC-HVACEQUIP-6P-D4" xfId="7"/>
    <cellStyle name="Normal_PC-LowPressureDist-D1" xfId="8"/>
    <cellStyle name="Normal_PC-LPDPackage-6P-D14" xfId="4"/>
    <cellStyle name="Normal_PC-PackRTOptimize-D1-6p-D2" xfId="6"/>
    <cellStyle name="Normal_ProCostFinAssumptions_Sector" xfId="11"/>
    <cellStyle name="Percent" xfId="3" builtinId="5"/>
    <cellStyle name="XLConnect.Header" xfId="17"/>
    <cellStyle name="XLConnect.Numeric" xfId="18"/>
    <cellStyle name="XLConnect.String" xfId="1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stacked"/>
        <c:ser>
          <c:idx val="0"/>
          <c:order val="0"/>
          <c:cat>
            <c:strRef>
              <c:f>'SC Retro'!$C$61:$C$78</c:f>
              <c:strCache>
                <c:ptCount val="18"/>
                <c:pt idx="0">
                  <c:v>Large Off</c:v>
                </c:pt>
                <c:pt idx="1">
                  <c:v>Medium Off</c:v>
                </c:pt>
                <c:pt idx="2">
                  <c:v>Small Off</c:v>
                </c:pt>
                <c:pt idx="3">
                  <c:v>XLarge Ret</c:v>
                </c:pt>
                <c:pt idx="4">
                  <c:v>Large Ret</c:v>
                </c:pt>
                <c:pt idx="5">
                  <c:v>Medium Ret</c:v>
                </c:pt>
                <c:pt idx="6">
                  <c:v>Small Ret</c:v>
                </c:pt>
                <c:pt idx="7">
                  <c:v>School K-12</c:v>
                </c:pt>
                <c:pt idx="8">
                  <c:v>University</c:v>
                </c:pt>
                <c:pt idx="9">
                  <c:v>Warehouse</c:v>
                </c:pt>
                <c:pt idx="10">
                  <c:v>Supermarket</c:v>
                </c:pt>
                <c:pt idx="11">
                  <c:v>MiniMart</c:v>
                </c:pt>
                <c:pt idx="12">
                  <c:v>Restaurant</c:v>
                </c:pt>
                <c:pt idx="13">
                  <c:v>Lodging</c:v>
                </c:pt>
                <c:pt idx="14">
                  <c:v>Hospital</c:v>
                </c:pt>
                <c:pt idx="15">
                  <c:v>Residential Care</c:v>
                </c:pt>
                <c:pt idx="16">
                  <c:v>Assembly</c:v>
                </c:pt>
                <c:pt idx="17">
                  <c:v>Other</c:v>
                </c:pt>
              </c:strCache>
            </c:strRef>
          </c:cat>
          <c:val>
            <c:numRef>
              <c:f>'SC Retro'!$Y$61:$Y$78</c:f>
              <c:numCache>
                <c:formatCode>0.00</c:formatCode>
                <c:ptCount val="18"/>
                <c:pt idx="0">
                  <c:v>4.3081640490284805</c:v>
                </c:pt>
                <c:pt idx="1">
                  <c:v>7.2566048777634222</c:v>
                </c:pt>
                <c:pt idx="2">
                  <c:v>4.8065764966453832</c:v>
                </c:pt>
                <c:pt idx="3">
                  <c:v>12.37913498607044</c:v>
                </c:pt>
                <c:pt idx="4">
                  <c:v>22.953548492461646</c:v>
                </c:pt>
                <c:pt idx="5">
                  <c:v>3.6637853978111372</c:v>
                </c:pt>
                <c:pt idx="6">
                  <c:v>0.2773407460579152</c:v>
                </c:pt>
                <c:pt idx="7">
                  <c:v>2.4707602554130452</c:v>
                </c:pt>
                <c:pt idx="8">
                  <c:v>1.2503635610353165</c:v>
                </c:pt>
                <c:pt idx="9">
                  <c:v>2.0269768238713999</c:v>
                </c:pt>
                <c:pt idx="10">
                  <c:v>4.3376830142480367</c:v>
                </c:pt>
                <c:pt idx="11">
                  <c:v>1.9709887098810737</c:v>
                </c:pt>
                <c:pt idx="12">
                  <c:v>9.8593641619056669</c:v>
                </c:pt>
                <c:pt idx="13">
                  <c:v>1.9299642992306665</c:v>
                </c:pt>
                <c:pt idx="14">
                  <c:v>1.1965560235142547</c:v>
                </c:pt>
                <c:pt idx="15">
                  <c:v>9.0425263423597162</c:v>
                </c:pt>
                <c:pt idx="16">
                  <c:v>25.392371061649399</c:v>
                </c:pt>
                <c:pt idx="17">
                  <c:v>4.2501165730288157</c:v>
                </c:pt>
              </c:numCache>
            </c:numRef>
          </c:val>
        </c:ser>
        <c:overlap val="100"/>
        <c:axId val="521811456"/>
        <c:axId val="521812992"/>
      </c:barChart>
      <c:catAx>
        <c:axId val="521811456"/>
        <c:scaling>
          <c:orientation val="minMax"/>
        </c:scaling>
        <c:axPos val="b"/>
        <c:tickLblPos val="nextTo"/>
        <c:crossAx val="521812992"/>
        <c:crosses val="autoZero"/>
        <c:auto val="1"/>
        <c:lblAlgn val="ctr"/>
        <c:lblOffset val="100"/>
      </c:catAx>
      <c:valAx>
        <c:axId val="521812992"/>
        <c:scaling>
          <c:orientation val="minMax"/>
        </c:scaling>
        <c:axPos val="l"/>
        <c:majorGridlines/>
        <c:numFmt formatCode="0.00" sourceLinked="1"/>
        <c:tickLblPos val="nextTo"/>
        <c:crossAx val="521811456"/>
        <c:crosses val="autoZero"/>
        <c:crossBetween val="between"/>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'Market Data'!$K$53</c:f>
              <c:strCache>
                <c:ptCount val="1"/>
                <c:pt idx="0">
                  <c:v>kWh/sf  savings</c:v>
                </c:pt>
              </c:strCache>
            </c:strRef>
          </c:tx>
          <c:cat>
            <c:strRef>
              <c:f>'Market Data'!$J$54:$J$71</c:f>
              <c:strCache>
                <c:ptCount val="18"/>
                <c:pt idx="0">
                  <c:v>Large Off</c:v>
                </c:pt>
                <c:pt idx="1">
                  <c:v>Medium Off</c:v>
                </c:pt>
                <c:pt idx="2">
                  <c:v>Small Off</c:v>
                </c:pt>
                <c:pt idx="3">
                  <c:v>XLarge Ret</c:v>
                </c:pt>
                <c:pt idx="4">
                  <c:v>Large Ret</c:v>
                </c:pt>
                <c:pt idx="5">
                  <c:v>Medium Ret</c:v>
                </c:pt>
                <c:pt idx="6">
                  <c:v>Small Ret</c:v>
                </c:pt>
                <c:pt idx="7">
                  <c:v>School K-12</c:v>
                </c:pt>
                <c:pt idx="8">
                  <c:v>University</c:v>
                </c:pt>
                <c:pt idx="9">
                  <c:v>Warehouse</c:v>
                </c:pt>
                <c:pt idx="10">
                  <c:v>Supermarket</c:v>
                </c:pt>
                <c:pt idx="11">
                  <c:v>MiniMart</c:v>
                </c:pt>
                <c:pt idx="12">
                  <c:v>Restaurant</c:v>
                </c:pt>
                <c:pt idx="13">
                  <c:v>Lodging</c:v>
                </c:pt>
                <c:pt idx="14">
                  <c:v>Hospital</c:v>
                </c:pt>
                <c:pt idx="15">
                  <c:v>Residential Care</c:v>
                </c:pt>
                <c:pt idx="16">
                  <c:v>Assembly</c:v>
                </c:pt>
                <c:pt idx="17">
                  <c:v>Other</c:v>
                </c:pt>
              </c:strCache>
            </c:strRef>
          </c:cat>
          <c:val>
            <c:numRef>
              <c:f>'Market Data'!$K$54:$K$71</c:f>
              <c:numCache>
                <c:formatCode>_(* #,##0.0000_);_(* \(#,##0.0000\);_(* "-"??_);_(@_)</c:formatCode>
                <c:ptCount val="18"/>
                <c:pt idx="0">
                  <c:v>0.11506921726474252</c:v>
                </c:pt>
                <c:pt idx="1">
                  <c:v>0.38623376009711341</c:v>
                </c:pt>
                <c:pt idx="2">
                  <c:v>0.26506590770984895</c:v>
                </c:pt>
                <c:pt idx="3">
                  <c:v>0.93646687385369998</c:v>
                </c:pt>
                <c:pt idx="4">
                  <c:v>1.1497311538054293</c:v>
                </c:pt>
                <c:pt idx="5">
                  <c:v>0.39486164846664223</c:v>
                </c:pt>
                <c:pt idx="6">
                  <c:v>2.6514568417845316E-2</c:v>
                </c:pt>
                <c:pt idx="7">
                  <c:v>0.10611853117726823</c:v>
                </c:pt>
                <c:pt idx="8">
                  <c:v>0.10611853117726823</c:v>
                </c:pt>
                <c:pt idx="9">
                  <c:v>4.6477344354489553E-2</c:v>
                </c:pt>
                <c:pt idx="10">
                  <c:v>0.91933584896114628</c:v>
                </c:pt>
                <c:pt idx="11">
                  <c:v>0.91933584896114628</c:v>
                </c:pt>
                <c:pt idx="12">
                  <c:v>2.0063752897795508</c:v>
                </c:pt>
                <c:pt idx="13">
                  <c:v>0.11384121765439638</c:v>
                </c:pt>
                <c:pt idx="14">
                  <c:v>0.11384121765439638</c:v>
                </c:pt>
                <c:pt idx="15">
                  <c:v>0.70584176954140854</c:v>
                </c:pt>
                <c:pt idx="16">
                  <c:v>0.70549381285231594</c:v>
                </c:pt>
                <c:pt idx="17">
                  <c:v>0.14122456218221954</c:v>
                </c:pt>
              </c:numCache>
            </c:numRef>
          </c:val>
        </c:ser>
        <c:ser>
          <c:idx val="1"/>
          <c:order val="1"/>
          <c:tx>
            <c:strRef>
              <c:f>'Market Data'!$L$53</c:f>
              <c:strCache>
                <c:ptCount val="1"/>
                <c:pt idx="0">
                  <c:v>$/Sf </c:v>
                </c:pt>
              </c:strCache>
            </c:strRef>
          </c:tx>
          <c:cat>
            <c:strRef>
              <c:f>'Market Data'!$J$54:$J$71</c:f>
              <c:strCache>
                <c:ptCount val="18"/>
                <c:pt idx="0">
                  <c:v>Large Off</c:v>
                </c:pt>
                <c:pt idx="1">
                  <c:v>Medium Off</c:v>
                </c:pt>
                <c:pt idx="2">
                  <c:v>Small Off</c:v>
                </c:pt>
                <c:pt idx="3">
                  <c:v>XLarge Ret</c:v>
                </c:pt>
                <c:pt idx="4">
                  <c:v>Large Ret</c:v>
                </c:pt>
                <c:pt idx="5">
                  <c:v>Medium Ret</c:v>
                </c:pt>
                <c:pt idx="6">
                  <c:v>Small Ret</c:v>
                </c:pt>
                <c:pt idx="7">
                  <c:v>School K-12</c:v>
                </c:pt>
                <c:pt idx="8">
                  <c:v>University</c:v>
                </c:pt>
                <c:pt idx="9">
                  <c:v>Warehouse</c:v>
                </c:pt>
                <c:pt idx="10">
                  <c:v>Supermarket</c:v>
                </c:pt>
                <c:pt idx="11">
                  <c:v>MiniMart</c:v>
                </c:pt>
                <c:pt idx="12">
                  <c:v>Restaurant</c:v>
                </c:pt>
                <c:pt idx="13">
                  <c:v>Lodging</c:v>
                </c:pt>
                <c:pt idx="14">
                  <c:v>Hospital</c:v>
                </c:pt>
                <c:pt idx="15">
                  <c:v>Residential Care</c:v>
                </c:pt>
                <c:pt idx="16">
                  <c:v>Assembly</c:v>
                </c:pt>
                <c:pt idx="17">
                  <c:v>Other</c:v>
                </c:pt>
              </c:strCache>
            </c:strRef>
          </c:cat>
          <c:val>
            <c:numRef>
              <c:f>'Market Data'!$L$54:$L$71</c:f>
              <c:numCache>
                <c:formatCode>_(* #,##0.00_);_(* \(#,##0.00\);_(* "-"??_);_(@_)</c:formatCode>
                <c:ptCount val="18"/>
                <c:pt idx="0">
                  <c:v>8.6958816167838432E-2</c:v>
                </c:pt>
                <c:pt idx="1">
                  <c:v>0.31606351396005627</c:v>
                </c:pt>
                <c:pt idx="2">
                  <c:v>0.19999195139965231</c:v>
                </c:pt>
                <c:pt idx="3">
                  <c:v>0.1811789556978993</c:v>
                </c:pt>
                <c:pt idx="4">
                  <c:v>0.18359410174555876</c:v>
                </c:pt>
                <c:pt idx="5">
                  <c:v>0.11606750141743268</c:v>
                </c:pt>
                <c:pt idx="6">
                  <c:v>2.1088272602037467E-2</c:v>
                </c:pt>
                <c:pt idx="7">
                  <c:v>9.4553141516109079E-2</c:v>
                </c:pt>
                <c:pt idx="8">
                  <c:v>9.4553141516109079E-2</c:v>
                </c:pt>
                <c:pt idx="9">
                  <c:v>3.7784319235833738E-2</c:v>
                </c:pt>
                <c:pt idx="10">
                  <c:v>0.29228310942328339</c:v>
                </c:pt>
                <c:pt idx="11">
                  <c:v>0.29228310942328339</c:v>
                </c:pt>
                <c:pt idx="12">
                  <c:v>0.73229385146975234</c:v>
                </c:pt>
                <c:pt idx="13">
                  <c:v>6.186975639218098E-2</c:v>
                </c:pt>
                <c:pt idx="14">
                  <c:v>6.186975639218098E-2</c:v>
                </c:pt>
                <c:pt idx="15">
                  <c:v>0.21500550974150753</c:v>
                </c:pt>
                <c:pt idx="16">
                  <c:v>0.1798317315436718</c:v>
                </c:pt>
                <c:pt idx="17">
                  <c:v>6.6713799252344441E-2</c:v>
                </c:pt>
              </c:numCache>
            </c:numRef>
          </c:val>
        </c:ser>
        <c:axId val="521870720"/>
        <c:axId val="522847360"/>
      </c:barChart>
      <c:catAx>
        <c:axId val="521870720"/>
        <c:scaling>
          <c:orientation val="minMax"/>
        </c:scaling>
        <c:axPos val="b"/>
        <c:tickLblPos val="nextTo"/>
        <c:crossAx val="522847360"/>
        <c:crosses val="autoZero"/>
        <c:auto val="1"/>
        <c:lblAlgn val="ctr"/>
        <c:lblOffset val="100"/>
      </c:catAx>
      <c:valAx>
        <c:axId val="522847360"/>
        <c:scaling>
          <c:orientation val="minMax"/>
        </c:scaling>
        <c:axPos val="l"/>
        <c:majorGridlines/>
        <c:numFmt formatCode="_(* #,##0.0000_);_(* \(#,##0.0000\);_(* &quot;-&quot;??_);_(@_)" sourceLinked="1"/>
        <c:tickLblPos val="nextTo"/>
        <c:crossAx val="521870720"/>
        <c:crosses val="autoZero"/>
        <c:crossBetween val="between"/>
      </c:valAx>
    </c:plotArea>
    <c:legend>
      <c:legendPos val="r"/>
    </c:legend>
    <c:plotVisOnly val="1"/>
  </c:chart>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Saturation</a:t>
            </a:r>
            <a:r>
              <a:rPr lang="en-US" baseline="0"/>
              <a:t> of Variable Speed Fans in Single Zone Ducted System</a:t>
            </a:r>
            <a:endParaRPr lang="en-US"/>
          </a:p>
        </c:rich>
      </c:tx>
    </c:title>
    <c:plotArea>
      <c:layout/>
      <c:pieChart>
        <c:varyColors val="1"/>
        <c:ser>
          <c:idx val="0"/>
          <c:order val="0"/>
          <c:dLbls>
            <c:dLbl>
              <c:idx val="0"/>
              <c:layout>
                <c:manualLayout>
                  <c:x val="0.24460828679278848"/>
                  <c:y val="-0.33486546130206951"/>
                </c:manualLayout>
              </c:layout>
              <c:showVal val="1"/>
              <c:showCatName val="1"/>
              <c:showPercent val="1"/>
            </c:dLbl>
            <c:dLbl>
              <c:idx val="1"/>
              <c:layout>
                <c:manualLayout>
                  <c:x val="-0.16908660027831438"/>
                  <c:y val="0.1502867552354582"/>
                </c:manualLayout>
              </c:layout>
              <c:showVal val="1"/>
              <c:showCatName val="1"/>
              <c:showPercent val="1"/>
            </c:dLbl>
            <c:showVal val="1"/>
            <c:showCatName val="1"/>
            <c:showPercent val="1"/>
            <c:showLeaderLines val="1"/>
          </c:dLbls>
          <c:cat>
            <c:strLit>
              <c:ptCount val="2"/>
              <c:pt idx="0">
                <c:v>SZ Ducted - CS</c:v>
              </c:pt>
              <c:pt idx="1">
                <c:v>SZ Ducted - VS</c:v>
              </c:pt>
            </c:strLit>
          </c:cat>
          <c:val>
            <c:numLit>
              <c:formatCode>General</c:formatCode>
              <c:ptCount val="2"/>
              <c:pt idx="0">
                <c:v>1487558454.2249241</c:v>
              </c:pt>
              <c:pt idx="1">
                <c:v>138712482.40844965</c:v>
              </c:pt>
            </c:numLit>
          </c:val>
        </c:ser>
        <c:dLbls>
          <c:showCatName val="1"/>
          <c:showPercent val="1"/>
        </c:dLbls>
        <c:firstSliceAng val="0"/>
      </c:pieChart>
    </c:plotArea>
    <c:plotVisOnly val="1"/>
  </c:chart>
  <c:printSettings>
    <c:headerFooter/>
    <c:pageMargins b="0.75000000000000711" l="0.70000000000000062" r="0.70000000000000062" t="0.750000000000007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30</xdr:col>
      <xdr:colOff>462642</xdr:colOff>
      <xdr:row>57</xdr:row>
      <xdr:rowOff>149678</xdr:rowOff>
    </xdr:from>
    <xdr:to>
      <xdr:col>38</xdr:col>
      <xdr:colOff>136071</xdr:colOff>
      <xdr:row>74</xdr:row>
      <xdr:rowOff>40821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333375</xdr:colOff>
      <xdr:row>52</xdr:row>
      <xdr:rowOff>104775</xdr:rowOff>
    </xdr:from>
    <xdr:to>
      <xdr:col>19</xdr:col>
      <xdr:colOff>104775</xdr:colOff>
      <xdr:row>69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9</xdr:row>
      <xdr:rowOff>19050</xdr:rowOff>
    </xdr:from>
    <xdr:to>
      <xdr:col>12</xdr:col>
      <xdr:colOff>561975</xdr:colOff>
      <xdr:row>38</xdr:row>
      <xdr:rowOff>133350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90600" y="1476375"/>
          <a:ext cx="6886575" cy="4810125"/>
        </a:xfrm>
        <a:prstGeom prst="rect">
          <a:avLst/>
        </a:prstGeom>
        <a:noFill/>
      </xdr:spPr>
    </xdr:pic>
    <xdr:clientData/>
  </xdr:twoCellAnchor>
  <xdr:twoCellAnchor>
    <xdr:from>
      <xdr:col>1</xdr:col>
      <xdr:colOff>190500</xdr:colOff>
      <xdr:row>2</xdr:row>
      <xdr:rowOff>66675</xdr:rowOff>
    </xdr:from>
    <xdr:to>
      <xdr:col>13</xdr:col>
      <xdr:colOff>209550</xdr:colOff>
      <xdr:row>8</xdr:row>
      <xdr:rowOff>57150</xdr:rowOff>
    </xdr:to>
    <xdr:sp macro="" textlink="">
      <xdr:nvSpPr>
        <xdr:cNvPr id="3" name="TextBox 2"/>
        <xdr:cNvSpPr txBox="1"/>
      </xdr:nvSpPr>
      <xdr:spPr>
        <a:xfrm>
          <a:off x="800100" y="390525"/>
          <a:ext cx="73342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smtClean="0">
              <a:solidFill>
                <a:schemeClr val="dk1"/>
              </a:solidFill>
              <a:latin typeface="+mn-lt"/>
              <a:ea typeface="+mn-ea"/>
              <a:cs typeface="+mn-cs"/>
            </a:rPr>
            <a:t>Figure ES – 4 shows the variation of normalized RTU electricity savings per unit run hour and per supply-fan motor hp as a function of RTU size. Although there was some scatter just like the similar actual savings plot, there was no obvious trend with the size of the unit. It appears that normalizing savings with the unit run hours and the fan motor size, correlates well with the annual savings across the eight sites. Most units had savings between 500 Wh/h/hp and 800 Wh/h/hp, with an average savings across all sites being 703 Wh/h/hp. </a:t>
          </a:r>
          <a:endParaRPr lang="en-US" sz="1100"/>
        </a:p>
      </xdr:txBody>
    </xdr:sp>
    <xdr:clientData/>
  </xdr:twoCellAnchor>
  <xdr:twoCellAnchor>
    <xdr:from>
      <xdr:col>1</xdr:col>
      <xdr:colOff>19050</xdr:colOff>
      <xdr:row>41</xdr:row>
      <xdr:rowOff>123825</xdr:rowOff>
    </xdr:from>
    <xdr:to>
      <xdr:col>14</xdr:col>
      <xdr:colOff>285750</xdr:colOff>
      <xdr:row>69</xdr:row>
      <xdr:rowOff>104775</xdr:rowOff>
    </xdr:to>
    <xdr:sp macro="" textlink="">
      <xdr:nvSpPr>
        <xdr:cNvPr id="4" name="TextBox 3"/>
        <xdr:cNvSpPr txBox="1"/>
      </xdr:nvSpPr>
      <xdr:spPr>
        <a:xfrm>
          <a:off x="628650" y="6762750"/>
          <a:ext cx="8191500" cy="451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smtClean="0">
              <a:solidFill>
                <a:schemeClr val="dk1"/>
              </a:solidFill>
              <a:latin typeface="+mn-lt"/>
              <a:ea typeface="+mn-ea"/>
              <a:cs typeface="+mn-cs"/>
            </a:rPr>
            <a:t>A total of 66 RTUs on 8 different buildings were retrofitted with a commercially available advanced controller for improving RTU operational efficiency. Of the 66 tested RTUs, 17 were packaged heat pumps and the rest were packaged air conditioners with gas heat. The eight buildings covered four building types, including mercantile (both retail and shopping malls), office, food sales, and healthcare. These buildings were located in four different climate zones including warm and coastal climate, mixed and humid climate, mixed and marine climate, and cool and humid climate. The measured actual savings, the normalized annual energy savings, and the savings uncertainties were calculated using the methods described in the ASHRAE Guideline 14. Major findings from this work are highlighted below: </a:t>
          </a:r>
        </a:p>
        <a:p>
          <a:r>
            <a:rPr lang="en-US" sz="1100" baseline="0" smtClean="0">
              <a:solidFill>
                <a:schemeClr val="dk1"/>
              </a:solidFill>
              <a:latin typeface="+mn-lt"/>
              <a:ea typeface="+mn-ea"/>
              <a:cs typeface="+mn-cs"/>
            </a:rPr>
            <a:t> The advanced controller reduced both actual consumption and normalized consumption by between 22% and 90%, with an average of 55% for all RTUs. </a:t>
          </a:r>
        </a:p>
        <a:p>
          <a:r>
            <a:rPr lang="en-US" sz="1100" baseline="0" smtClean="0">
              <a:solidFill>
                <a:schemeClr val="dk1"/>
              </a:solidFill>
              <a:latin typeface="+mn-lt"/>
              <a:ea typeface="+mn-ea"/>
              <a:cs typeface="+mn-cs"/>
            </a:rPr>
            <a:t> On average, the fractional savings uncertainty was 25% for actual savings and 12% for normalized savings. </a:t>
          </a:r>
        </a:p>
        <a:p>
          <a:r>
            <a:rPr lang="en-US" sz="1100" baseline="0" smtClean="0">
              <a:solidFill>
                <a:schemeClr val="dk1"/>
              </a:solidFill>
              <a:latin typeface="+mn-lt"/>
              <a:ea typeface="+mn-ea"/>
              <a:cs typeface="+mn-cs"/>
            </a:rPr>
            <a:t> Fan energy savings made a dominant contribution to the total RTU electricity savings, while the heating and cooling energy savings varied with units and were relatively smaller in comparison with fan energy savings. In general, fan energy savings had much less uncertainty than heating and cooling energy savings. </a:t>
          </a:r>
        </a:p>
        <a:p>
          <a:r>
            <a:rPr lang="en-US" sz="1100" baseline="0" smtClean="0">
              <a:solidFill>
                <a:schemeClr val="dk1"/>
              </a:solidFill>
              <a:latin typeface="+mn-lt"/>
              <a:ea typeface="+mn-ea"/>
              <a:cs typeface="+mn-cs"/>
            </a:rPr>
            <a:t> At the building level (total of all monitored RTU electricity consumption), the percentage of RTU electricity savings was in the range between 37% and 73% for both actual and normalized savings. The absolute electricity savings were in the range between 1.4 and 3.9 kWh per hour of unit operation. </a:t>
          </a:r>
        </a:p>
        <a:p>
          <a:r>
            <a:rPr lang="en-US" sz="1100" baseline="0" smtClean="0">
              <a:solidFill>
                <a:schemeClr val="dk1"/>
              </a:solidFill>
              <a:latin typeface="+mn-lt"/>
              <a:ea typeface="+mn-ea"/>
              <a:cs typeface="+mn-cs"/>
            </a:rPr>
            <a:t> As expected, both actual and normalized savings increased with the RTU size. The electricity savings increased from about 1.0 kWh/h for the group with RTU cooling capacity less than 10 tons, to 1.8 kWh/h for the group with RTU capacity between 10 and 15 tons, and then to 4.2 kWh/h for the group with RTU capacity greater than 15 tons. </a:t>
          </a:r>
        </a:p>
        <a:p>
          <a:r>
            <a:rPr lang="en-US" sz="1100" baseline="0" smtClean="0">
              <a:solidFill>
                <a:schemeClr val="dk1"/>
              </a:solidFill>
              <a:latin typeface="+mn-lt"/>
              <a:ea typeface="+mn-ea"/>
              <a:cs typeface="+mn-cs"/>
            </a:rPr>
            <a:t> On average, packaged air conditioners with gas heat (AC units) achieved more electricity savings than heat pumps (HP units). For both actual and normalized savings, the AC group saved 2.60 kWh/h per running hour, while the HP group saved 1.75 kWh/h. This was because the average size of HPs was smaller than the average size of the ACs. </a:t>
          </a:r>
        </a:p>
        <a:p>
          <a:r>
            <a:rPr lang="en-US" sz="1100" baseline="0" smtClean="0">
              <a:solidFill>
                <a:schemeClr val="dk1"/>
              </a:solidFill>
              <a:latin typeface="+mn-lt"/>
              <a:ea typeface="+mn-ea"/>
              <a:cs typeface="+mn-cs"/>
            </a:rPr>
            <a:t> The variation of annual normalized RTU electricity savings were between 400 and 700 Wh/h/hp with average savings approximately 515 Wh/h/hp across all eight sites.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3</xdr:row>
      <xdr:rowOff>0</xdr:rowOff>
    </xdr:from>
    <xdr:to>
      <xdr:col>7</xdr:col>
      <xdr:colOff>555851</xdr:colOff>
      <xdr:row>19</xdr:row>
      <xdr:rowOff>156142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561975</xdr:colOff>
      <xdr:row>24</xdr:row>
      <xdr:rowOff>142875</xdr:rowOff>
    </xdr:to>
    <xdr:sp macro="" textlink="">
      <xdr:nvSpPr>
        <xdr:cNvPr id="2" name="TextBox 1"/>
        <xdr:cNvSpPr txBox="1"/>
      </xdr:nvSpPr>
      <xdr:spPr>
        <a:xfrm>
          <a:off x="609600" y="809625"/>
          <a:ext cx="5438775"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 recommend setting a new baseline.  The CBSA 30% of SZ systems operating in intermittent fan mode, is consistent with our 2009 RTU RCx Pilot findings.  Intermittent fan operation doesn’t meet ASHRAE 62.1 (without CO2 control) or mechanical code, which require continuous fan operation during occupied periods; so, buildings with intermittent fan operation are under-ventilated.  </a:t>
          </a:r>
        </a:p>
        <a:p>
          <a:r>
            <a:rPr lang="en-US" sz="1100">
              <a:solidFill>
                <a:schemeClr val="dk1"/>
              </a:solidFill>
              <a:latin typeface="+mn-lt"/>
              <a:ea typeface="+mn-ea"/>
              <a:cs typeface="+mn-cs"/>
            </a:rPr>
            <a:t> </a:t>
          </a:r>
        </a:p>
        <a:p>
          <a:r>
            <a:rPr lang="en-US" sz="1100">
              <a:solidFill>
                <a:schemeClr val="dk1"/>
              </a:solidFill>
              <a:latin typeface="+mn-lt"/>
              <a:ea typeface="+mn-ea"/>
              <a:cs typeface="+mn-cs"/>
            </a:rPr>
            <a:t>Our Advanced Rooftop Controller measure requires continuous fan operation during occupied periods as the measure baseline (continuous during operating hours and intermittent at night).  </a:t>
          </a:r>
        </a:p>
        <a:p>
          <a:r>
            <a:rPr lang="en-US" sz="1100">
              <a:solidFill>
                <a:schemeClr val="dk1"/>
              </a:solidFill>
              <a:latin typeface="+mn-lt"/>
              <a:ea typeface="+mn-ea"/>
              <a:cs typeface="+mn-cs"/>
            </a:rPr>
            <a:t> </a:t>
          </a:r>
        </a:p>
        <a:p>
          <a:r>
            <a:rPr lang="en-US" sz="1100">
              <a:solidFill>
                <a:schemeClr val="dk1"/>
              </a:solidFill>
              <a:latin typeface="+mn-lt"/>
              <a:ea typeface="+mn-ea"/>
              <a:cs typeface="+mn-cs"/>
            </a:rPr>
            <a:t>FYI; several VCHP Subcommittee presentations summarized the following modeled, normalized Seattle Office RTU fan energy use:</a:t>
          </a:r>
        </a:p>
        <a:p>
          <a:r>
            <a:rPr lang="en-US" sz="1100">
              <a:solidFill>
                <a:schemeClr val="dk1"/>
              </a:solidFill>
              <a:latin typeface="+mn-lt"/>
              <a:ea typeface="+mn-ea"/>
              <a:cs typeface="+mn-cs"/>
            </a:rPr>
            <a:t>·         RTU with continuous fan operation during occupied periods: </a:t>
          </a:r>
          <a:r>
            <a:rPr lang="en-US" sz="1100" b="1">
              <a:solidFill>
                <a:schemeClr val="dk1"/>
              </a:solidFill>
              <a:latin typeface="+mn-lt"/>
              <a:ea typeface="+mn-ea"/>
              <a:cs typeface="+mn-cs"/>
            </a:rPr>
            <a:t>4.7 kWh per square foot</a:t>
          </a:r>
          <a:r>
            <a:rPr lang="en-US" sz="1100">
              <a:solidFill>
                <a:schemeClr val="dk1"/>
              </a:solidFill>
              <a:latin typeface="+mn-lt"/>
              <a:ea typeface="+mn-ea"/>
              <a:cs typeface="+mn-cs"/>
            </a:rPr>
            <a:t> (EnergyPro model); </a:t>
          </a:r>
        </a:p>
        <a:p>
          <a:r>
            <a:rPr lang="en-US" sz="1100">
              <a:solidFill>
                <a:schemeClr val="dk1"/>
              </a:solidFill>
              <a:latin typeface="+mn-lt"/>
              <a:ea typeface="+mn-ea"/>
              <a:cs typeface="+mn-cs"/>
            </a:rPr>
            <a:t>·         RTU operating with intermittent fan operation during occupied periods: </a:t>
          </a:r>
          <a:r>
            <a:rPr lang="en-US" sz="1100" b="1">
              <a:solidFill>
                <a:schemeClr val="dk1"/>
              </a:solidFill>
              <a:latin typeface="+mn-lt"/>
              <a:ea typeface="+mn-ea"/>
              <a:cs typeface="+mn-cs"/>
            </a:rPr>
            <a:t>1.5 kWh per square foot</a:t>
          </a:r>
          <a:r>
            <a:rPr lang="en-US" sz="1100">
              <a:solidFill>
                <a:schemeClr val="dk1"/>
              </a:solidFill>
              <a:latin typeface="+mn-lt"/>
              <a:ea typeface="+mn-ea"/>
              <a:cs typeface="+mn-cs"/>
            </a:rPr>
            <a:t> (eQuest model)</a:t>
          </a:r>
        </a:p>
        <a:p>
          <a:r>
            <a:rPr lang="en-US" sz="1100">
              <a:solidFill>
                <a:schemeClr val="dk1"/>
              </a:solidFill>
              <a:latin typeface="+mn-lt"/>
              <a:ea typeface="+mn-ea"/>
              <a:cs typeface="+mn-cs"/>
            </a:rPr>
            <a:t> </a:t>
          </a:r>
        </a:p>
        <a:p>
          <a:r>
            <a:rPr lang="en-US" sz="1100">
              <a:solidFill>
                <a:schemeClr val="dk1"/>
              </a:solidFill>
              <a:latin typeface="+mn-lt"/>
              <a:ea typeface="+mn-ea"/>
              <a:cs typeface="+mn-cs"/>
            </a:rPr>
            <a:t>Mira</a:t>
          </a:r>
        </a:p>
        <a:p>
          <a:endParaRPr lang="en-US" sz="1100"/>
        </a:p>
      </xdr:txBody>
    </xdr:sp>
    <xdr:clientData/>
  </xdr:twoCellAnchor>
  <xdr:twoCellAnchor>
    <xdr:from>
      <xdr:col>1</xdr:col>
      <xdr:colOff>95250</xdr:colOff>
      <xdr:row>27</xdr:row>
      <xdr:rowOff>95250</xdr:rowOff>
    </xdr:from>
    <xdr:to>
      <xdr:col>12</xdr:col>
      <xdr:colOff>533400</xdr:colOff>
      <xdr:row>49</xdr:row>
      <xdr:rowOff>114300</xdr:rowOff>
    </xdr:to>
    <xdr:pic>
      <xdr:nvPicPr>
        <xdr:cNvPr id="4097" name="Picture 1" descr="image001"/>
        <xdr:cNvPicPr>
          <a:picLocks noChangeAspect="1" noChangeArrowheads="1"/>
        </xdr:cNvPicPr>
      </xdr:nvPicPr>
      <xdr:blipFill>
        <a:blip xmlns:r="http://schemas.openxmlformats.org/officeDocument/2006/relationships" r:embed="rId1" cstate="print"/>
        <a:srcRect/>
        <a:stretch>
          <a:fillRect/>
        </a:stretch>
      </xdr:blipFill>
      <xdr:spPr bwMode="auto">
        <a:xfrm>
          <a:off x="704850" y="4467225"/>
          <a:ext cx="7143750" cy="35814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mit\Documents\Sixth%20Plan%20Stuff\Analysis\com\PC-HVACEQUIP-6P-D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 val="Com_Master_7P"/>
    </sheetNames>
    <definedNames>
      <definedName name="ACHIEV" refersTo="='ACHIEV'!$B$19:$Y$119"/>
      <definedName name="BLDGTYPE" refersTo="='APPLIC'!$B$11:$U$11"/>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row r="118">
          <cell r="B118" t="str">
            <v>Pool System Improvements</v>
          </cell>
          <cell r="C118" t="str">
            <v>Electric Combination Ovens</v>
          </cell>
        </row>
        <row r="119">
          <cell r="B119" t="str">
            <v>Process Loads System Controls</v>
          </cell>
          <cell r="C119" t="str">
            <v>Electric Commercial Steam Cookers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J11" t="str">
            <v>Comparable Estimate for 6th Plan</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9">
          <cell r="B19" t="str">
            <v>Desktop-NR</v>
          </cell>
          <cell r="C19" t="str">
            <v>COM-Computers-7P_V1.xlsx</v>
          </cell>
          <cell r="F19" t="str">
            <v>ENERGY STAR Desktop</v>
          </cell>
          <cell r="H19">
            <v>55.8193241357245</v>
          </cell>
          <cell r="I19">
            <v>0</v>
          </cell>
          <cell r="J19">
            <v>55.8193241357245</v>
          </cell>
          <cell r="K19" t="str">
            <v/>
          </cell>
          <cell r="O19" t="str">
            <v>tj</v>
          </cell>
        </row>
        <row r="20">
          <cell r="B20" t="str">
            <v>Pre-Rinse Spray Valve-Retro</v>
          </cell>
          <cell r="C20" t="str">
            <v>COM-PreRinseSpray-7P_V2.xlsm</v>
          </cell>
          <cell r="F20" t="str">
            <v>Pre-Rinse Spray Valve</v>
          </cell>
          <cell r="H20">
            <v>0.97671631632425404</v>
          </cell>
          <cell r="I20">
            <v>0</v>
          </cell>
          <cell r="J20">
            <v>6.3907640383945719</v>
          </cell>
          <cell r="K20">
            <v>1.8020364840570837</v>
          </cell>
          <cell r="O20" t="str">
            <v>ks</v>
          </cell>
        </row>
        <row r="21">
          <cell r="B21" t="str">
            <v>Cooking Equipment-NR</v>
          </cell>
          <cell r="C21" t="str">
            <v>COM-Cooking-7P_V4.xlsm</v>
          </cell>
          <cell r="F21" t="str">
            <v>Cooking Equipment</v>
          </cell>
          <cell r="H21">
            <v>66.300435443908256</v>
          </cell>
          <cell r="I21">
            <v>0</v>
          </cell>
          <cell r="J21">
            <v>35.293413394978195</v>
          </cell>
          <cell r="K21">
            <v>31.83672767383753</v>
          </cell>
          <cell r="O21" t="str">
            <v>ks</v>
          </cell>
        </row>
        <row r="22">
          <cell r="B22" t="str">
            <v>Premium HVAC Equipment-New</v>
          </cell>
          <cell r="C22" t="str">
            <v>dropped for 7p Stds</v>
          </cell>
          <cell r="F22" t="str">
            <v>Premium HVAC Equipment</v>
          </cell>
          <cell r="H22">
            <v>0</v>
          </cell>
          <cell r="J22">
            <v>0</v>
          </cell>
          <cell r="K22">
            <v>7.3598915362035227</v>
          </cell>
        </row>
        <row r="23">
          <cell r="B23" t="str">
            <v>Premium HVAC Equipment-NR</v>
          </cell>
          <cell r="C23" t="str">
            <v>dropped for 7p Stds</v>
          </cell>
          <cell r="F23" t="str">
            <v>Premium HVAC Equipment</v>
          </cell>
          <cell r="H23">
            <v>0</v>
          </cell>
          <cell r="J23">
            <v>0</v>
          </cell>
          <cell r="K23">
            <v>28.437885955279242</v>
          </cell>
        </row>
        <row r="24">
          <cell r="B24" t="str">
            <v>Glass-New</v>
          </cell>
          <cell r="C24" t="str">
            <v>dropped for 7p - codes</v>
          </cell>
          <cell r="F24" t="str">
            <v>Windows</v>
          </cell>
          <cell r="J24">
            <v>0</v>
          </cell>
          <cell r="K24">
            <v>3.1359227208655991</v>
          </cell>
        </row>
        <row r="25">
          <cell r="B25" t="str">
            <v>Glass-NR</v>
          </cell>
          <cell r="C25" t="str">
            <v>dropped for 7p - codes</v>
          </cell>
          <cell r="F25" t="str">
            <v>Windows</v>
          </cell>
          <cell r="J25">
            <v>0</v>
          </cell>
          <cell r="K25">
            <v>7.2056124298919988</v>
          </cell>
        </row>
        <row r="26">
          <cell r="B26" t="str">
            <v>Glass-Retro</v>
          </cell>
          <cell r="C26" t="str">
            <v>see secondary glazing</v>
          </cell>
          <cell r="F26" t="str">
            <v>Windows</v>
          </cell>
          <cell r="J26">
            <v>0</v>
          </cell>
          <cell r="K26">
            <v>20.889312946804694</v>
          </cell>
        </row>
        <row r="27">
          <cell r="B27" t="str">
            <v>Advanced Rooftop Controller-New</v>
          </cell>
          <cell r="F27" t="str">
            <v>Advanced Rooftop Controller</v>
          </cell>
          <cell r="J27">
            <v>0</v>
          </cell>
          <cell r="K27" t="str">
            <v/>
          </cell>
          <cell r="O27" t="str">
            <v>ks</v>
          </cell>
        </row>
        <row r="28">
          <cell r="B28" t="str">
            <v>Advanced Rooftop Controller-NR</v>
          </cell>
          <cell r="F28" t="str">
            <v>Advanced Rooftop Controller</v>
          </cell>
          <cell r="J28">
            <v>0</v>
          </cell>
          <cell r="K28" t="str">
            <v/>
          </cell>
          <cell r="O28" t="str">
            <v>ks</v>
          </cell>
        </row>
        <row r="29">
          <cell r="B29" t="str">
            <v>Advanced Rooftop Controller-Retro</v>
          </cell>
          <cell r="C29" t="str">
            <v>Com-RooftopController-7P_V4.xlsm</v>
          </cell>
          <cell r="F29" t="str">
            <v>Advanced Rooftop Controller</v>
          </cell>
          <cell r="H29">
            <v>119.37282587197582</v>
          </cell>
          <cell r="I29">
            <v>0</v>
          </cell>
          <cell r="J29">
            <v>119.37282587197582</v>
          </cell>
          <cell r="K29" t="str">
            <v/>
          </cell>
          <cell r="O29" t="str">
            <v>ks</v>
          </cell>
        </row>
        <row r="30">
          <cell r="B30" t="str">
            <v>Variable Speed Chiller-New</v>
          </cell>
          <cell r="F30" t="str">
            <v>Variable Speed Chiller</v>
          </cell>
          <cell r="J30">
            <v>0</v>
          </cell>
          <cell r="K30">
            <v>1.1125921894779771</v>
          </cell>
        </row>
        <row r="31">
          <cell r="B31" t="str">
            <v>Variable Speed Chiller-NR</v>
          </cell>
          <cell r="F31" t="str">
            <v>Variable Speed Chiller</v>
          </cell>
          <cell r="J31">
            <v>0</v>
          </cell>
          <cell r="K31">
            <v>12.287439737441444</v>
          </cell>
        </row>
        <row r="32">
          <cell r="B32" t="str">
            <v>Commercial EM-New</v>
          </cell>
          <cell r="F32" t="str">
            <v>Commercial Energy Management For Complex systems</v>
          </cell>
          <cell r="J32">
            <v>0</v>
          </cell>
          <cell r="K32">
            <v>9.3003260024451517</v>
          </cell>
        </row>
        <row r="33">
          <cell r="B33" t="str">
            <v>Commercial EM-NR</v>
          </cell>
          <cell r="F33" t="str">
            <v>Commercial Energy Management For Complex systems</v>
          </cell>
          <cell r="J33">
            <v>0</v>
          </cell>
          <cell r="K33">
            <v>0</v>
          </cell>
          <cell r="O33" t="str">
            <v>ks</v>
          </cell>
        </row>
        <row r="34">
          <cell r="B34" t="str">
            <v>Commercial EM-Retro</v>
          </cell>
          <cell r="C34" t="str">
            <v>COM-EM-Retro-7P_V3.xlsm</v>
          </cell>
          <cell r="F34" t="str">
            <v>Commercial Energy Management For Complex systems</v>
          </cell>
          <cell r="H34">
            <v>76.986931526097095</v>
          </cell>
          <cell r="I34">
            <v>11.548039728914564</v>
          </cell>
          <cell r="J34">
            <v>28.430557997918477</v>
          </cell>
          <cell r="K34">
            <v>120.33075078506094</v>
          </cell>
          <cell r="O34" t="str">
            <v>ks</v>
          </cell>
        </row>
        <row r="35">
          <cell r="B35" t="str">
            <v>Evaporative Assist Cooling-New</v>
          </cell>
          <cell r="C35" t="str">
            <v>dropped for 7p - no data</v>
          </cell>
          <cell r="F35" t="str">
            <v>Evaporative Assist Cooling</v>
          </cell>
          <cell r="J35">
            <v>0</v>
          </cell>
          <cell r="K35">
            <v>0</v>
          </cell>
        </row>
        <row r="36">
          <cell r="B36" t="str">
            <v>Evaporative Assist Cooling-NR</v>
          </cell>
          <cell r="C36" t="str">
            <v>dropped for 7p - no data</v>
          </cell>
          <cell r="F36" t="str">
            <v>Evaporative Assist Cooling</v>
          </cell>
          <cell r="J36">
            <v>0</v>
          </cell>
          <cell r="K36">
            <v>0</v>
          </cell>
        </row>
        <row r="37">
          <cell r="B37" t="str">
            <v>Low Pressure Distribution Complex HVAC-New</v>
          </cell>
          <cell r="C37" t="str">
            <v>COM-Economizer-7P_v1.xlsm</v>
          </cell>
          <cell r="F37" t="str">
            <v>Low Pressure Distribution Complex HVAC</v>
          </cell>
          <cell r="H37">
            <v>26.426181974293137</v>
          </cell>
          <cell r="J37">
            <v>0</v>
          </cell>
          <cell r="K37">
            <v>5.9129303419382238</v>
          </cell>
        </row>
        <row r="38">
          <cell r="B38" t="str">
            <v>Demand Control Ventilation-New</v>
          </cell>
          <cell r="F38" t="str">
            <v>Demand Control Ventilation</v>
          </cell>
          <cell r="J38">
            <v>0</v>
          </cell>
          <cell r="K38">
            <v>3.7806867212698152</v>
          </cell>
          <cell r="O38" t="str">
            <v>ks</v>
          </cell>
        </row>
        <row r="39">
          <cell r="B39" t="str">
            <v>Demand Control Ventilation-NR</v>
          </cell>
          <cell r="F39" t="str">
            <v>Demand Control Ventilation</v>
          </cell>
          <cell r="J39">
            <v>0</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J40">
            <v>28.430557997918477</v>
          </cell>
          <cell r="K40">
            <v>18.586994736156402</v>
          </cell>
          <cell r="O40" t="str">
            <v>ks</v>
          </cell>
        </row>
        <row r="41">
          <cell r="B41" t="str">
            <v>Premium Fume Hood-NR</v>
          </cell>
          <cell r="C41" t="str">
            <v>COM-FumeHood-7P_V1.xlsm</v>
          </cell>
          <cell r="F41" t="str">
            <v>Premium Fume Hood</v>
          </cell>
          <cell r="H41">
            <v>3.8878892674922914</v>
          </cell>
          <cell r="I41">
            <v>0</v>
          </cell>
          <cell r="J41">
            <v>3.8878892674922914</v>
          </cell>
          <cell r="K41">
            <v>19.625784442962761</v>
          </cell>
          <cell r="O41" t="str">
            <v>ks</v>
          </cell>
        </row>
        <row r="42">
          <cell r="B42" t="str">
            <v>DCV Restaurant Hood-Retro</v>
          </cell>
          <cell r="F42" t="str">
            <v>DCV Restaurant Hood</v>
          </cell>
          <cell r="J42">
            <v>0</v>
          </cell>
          <cell r="K42">
            <v>5.2084283011879595</v>
          </cell>
          <cell r="O42" t="str">
            <v>ks</v>
          </cell>
        </row>
        <row r="43">
          <cell r="B43" t="str">
            <v>DCV Parking Garage-Retro</v>
          </cell>
          <cell r="C43" t="str">
            <v>COM-DCV-Garage-7P_V3.xlsm</v>
          </cell>
          <cell r="F43" t="str">
            <v>DCV Parking Garage</v>
          </cell>
          <cell r="H43">
            <v>12.888276850646843</v>
          </cell>
          <cell r="J43">
            <v>12.888276850646843</v>
          </cell>
          <cell r="K43">
            <v>0</v>
          </cell>
          <cell r="O43" t="str">
            <v>ks</v>
          </cell>
        </row>
        <row r="44">
          <cell r="B44" t="str">
            <v>Weatherization - School-Retro</v>
          </cell>
          <cell r="F44" t="str">
            <v>Weatherization - School</v>
          </cell>
          <cell r="J44">
            <v>0</v>
          </cell>
          <cell r="K44" t="str">
            <v/>
          </cell>
        </row>
        <row r="45">
          <cell r="B45" t="str">
            <v>Energy Recovery Ventilator-NR</v>
          </cell>
          <cell r="C45" t="str">
            <v>dropped for 7p - too expensive</v>
          </cell>
          <cell r="F45" t="str">
            <v>Heat Recovery Ventilation</v>
          </cell>
          <cell r="J45">
            <v>0</v>
          </cell>
          <cell r="K45" t="str">
            <v/>
          </cell>
        </row>
        <row r="46">
          <cell r="B46" t="str">
            <v>AC Heat Recovery for Water Heating-NR</v>
          </cell>
          <cell r="C46" t="str">
            <v>dropped for 7p</v>
          </cell>
          <cell r="F46" t="str">
            <v>AC Heat Recovery for Water Heating</v>
          </cell>
          <cell r="J46">
            <v>0</v>
          </cell>
          <cell r="K46" t="str">
            <v/>
          </cell>
        </row>
        <row r="47">
          <cell r="B47" t="str">
            <v>Room Occupancy Sensors in Lodging-Retro</v>
          </cell>
          <cell r="C47" t="str">
            <v>dropped for 7p</v>
          </cell>
          <cell r="F47" t="str">
            <v>Room Occupancy Sensors in Lodging</v>
          </cell>
          <cell r="J47">
            <v>0</v>
          </cell>
          <cell r="K47" t="str">
            <v/>
          </cell>
        </row>
        <row r="48">
          <cell r="B48" t="str">
            <v>Chiller - chilled water retrofit-Retro</v>
          </cell>
          <cell r="F48" t="str">
            <v>Chiller - chilled water retrofit</v>
          </cell>
          <cell r="J48">
            <v>0</v>
          </cell>
          <cell r="K48" t="str">
            <v/>
          </cell>
        </row>
        <row r="49">
          <cell r="B49" t="str">
            <v>Chiller - equip retrofits-Retro</v>
          </cell>
          <cell r="F49" t="str">
            <v>Chiller - equip retrofits</v>
          </cell>
          <cell r="J49">
            <v>0</v>
          </cell>
          <cell r="K49" t="str">
            <v/>
          </cell>
        </row>
        <row r="50">
          <cell r="B50" t="str">
            <v>Pool Blankets-Retro</v>
          </cell>
          <cell r="F50" t="str">
            <v>Pool Blankets</v>
          </cell>
          <cell r="J50">
            <v>0</v>
          </cell>
          <cell r="K50" t="str">
            <v/>
          </cell>
        </row>
        <row r="51">
          <cell r="B51" t="str">
            <v>Web-Enabled Thermostats-Retro</v>
          </cell>
          <cell r="F51" t="str">
            <v>Web-Enabled Thermostats</v>
          </cell>
          <cell r="J51">
            <v>0</v>
          </cell>
          <cell r="K51" t="str">
            <v/>
          </cell>
        </row>
        <row r="52">
          <cell r="B52" t="str">
            <v>Garage CO2 ventilation-Retro</v>
          </cell>
          <cell r="C52" t="str">
            <v>see com-dcv-garage</v>
          </cell>
          <cell r="F52" t="str">
            <v>Garage CO2 ventilation</v>
          </cell>
          <cell r="J52">
            <v>0</v>
          </cell>
          <cell r="K52" t="str">
            <v/>
          </cell>
          <cell r="O52" t="str">
            <v>ks</v>
          </cell>
        </row>
        <row r="53">
          <cell r="B53" t="str">
            <v>Circ Pump ECM and drive-Retro</v>
          </cell>
          <cell r="F53" t="str">
            <v>Circ Pump ECM and drive</v>
          </cell>
          <cell r="J53">
            <v>0</v>
          </cell>
          <cell r="K53" t="str">
            <v/>
          </cell>
        </row>
        <row r="54">
          <cell r="B54" t="str">
            <v>VRF-New</v>
          </cell>
          <cell r="C54" t="str">
            <v>COM-VRF-7P_V5.xlsm</v>
          </cell>
          <cell r="F54" t="str">
            <v>Variable Refrigerant Flow</v>
          </cell>
          <cell r="H54">
            <v>61.089028709904269</v>
          </cell>
          <cell r="I54">
            <v>61.089028709904269</v>
          </cell>
          <cell r="J54">
            <v>61.089028709904269</v>
          </cell>
          <cell r="K54" t="str">
            <v/>
          </cell>
          <cell r="O54" t="str">
            <v>ks</v>
          </cell>
        </row>
        <row r="55">
          <cell r="B55" t="str">
            <v>VRF-Retro</v>
          </cell>
          <cell r="C55" t="str">
            <v>COM-VRF-7P_V5.xlsm</v>
          </cell>
          <cell r="F55" t="str">
            <v>Variable Refrigerant Flow</v>
          </cell>
          <cell r="H55">
            <v>31.395155521232557</v>
          </cell>
          <cell r="J55">
            <v>31.395155521232557</v>
          </cell>
          <cell r="K55" t="str">
            <v/>
          </cell>
          <cell r="O55" t="str">
            <v>ks</v>
          </cell>
        </row>
        <row r="56">
          <cell r="B56" t="str">
            <v>Evaporator Roof Top HVAC-Retro</v>
          </cell>
          <cell r="C56" t="str">
            <v>dropped for 7p</v>
          </cell>
          <cell r="F56" t="str">
            <v>Evaporator Roof Top HVAC</v>
          </cell>
          <cell r="J56">
            <v>0</v>
          </cell>
          <cell r="K56" t="str">
            <v/>
          </cell>
        </row>
        <row r="57">
          <cell r="B57" t="str">
            <v>Secondary Glazing Systems-Retro</v>
          </cell>
          <cell r="C57" t="str">
            <v>Com-WindowSGS-7P_V3.xlsx</v>
          </cell>
          <cell r="F57" t="str">
            <v>Secondary Glazing Systems</v>
          </cell>
          <cell r="G57">
            <v>42063</v>
          </cell>
          <cell r="H57">
            <v>40.390797895321441</v>
          </cell>
          <cell r="J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77.032036868890003</v>
          </cell>
          <cell r="I58">
            <v>77.032036868890003</v>
          </cell>
          <cell r="J58">
            <v>77.032036868890003</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256.22418009705746</v>
          </cell>
          <cell r="J59">
            <v>256.22418009705746</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124.10713009112848</v>
          </cell>
          <cell r="J60">
            <v>124.10713009112848</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J61">
            <v>0</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J62">
            <v>0</v>
          </cell>
          <cell r="K62">
            <v>3.1006916194307825</v>
          </cell>
          <cell r="O62" t="str">
            <v>cg</v>
          </cell>
          <cell r="R62">
            <v>42069</v>
          </cell>
          <cell r="T62">
            <v>42069</v>
          </cell>
        </row>
        <row r="63">
          <cell r="B63" t="str">
            <v>Perimeter Daylighting Controls Advanced-NR</v>
          </cell>
          <cell r="F63" t="str">
            <v>Daylighting with Windows</v>
          </cell>
          <cell r="J63">
            <v>0</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J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J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J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J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Com-Streetlight-7P_V8.xlsx</v>
          </cell>
          <cell r="F68" t="str">
            <v>Street and Roadway Lighting</v>
          </cell>
          <cell r="G68">
            <v>42070</v>
          </cell>
          <cell r="H68">
            <v>6.6186035002887751</v>
          </cell>
          <cell r="J68">
            <v>6.6186035002887751</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Com-Streetlight-7P_V8.xlsx</v>
          </cell>
          <cell r="F69" t="str">
            <v>Street and Roadway Lighting</v>
          </cell>
          <cell r="G69">
            <v>42070</v>
          </cell>
          <cell r="H69">
            <v>54.214701088024171</v>
          </cell>
          <cell r="J69">
            <v>54.214701088024171</v>
          </cell>
          <cell r="K69">
            <v>35.768242090251178</v>
          </cell>
          <cell r="O69" t="str">
            <v>cg</v>
          </cell>
          <cell r="P69">
            <v>42069</v>
          </cell>
          <cell r="Q69">
            <v>42069</v>
          </cell>
          <cell r="R69">
            <v>42069</v>
          </cell>
          <cell r="T69">
            <v>42069</v>
          </cell>
          <cell r="U69">
            <v>42069</v>
          </cell>
        </row>
        <row r="70">
          <cell r="B70" t="str">
            <v>Parking Lighting-New</v>
          </cell>
          <cell r="F70" t="str">
            <v>Parking Lighting</v>
          </cell>
          <cell r="I70">
            <v>0</v>
          </cell>
          <cell r="J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8.5168591321761209</v>
          </cell>
          <cell r="J71">
            <v>8.5168591321761209</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J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J73">
            <v>6.3907640383945719</v>
          </cell>
          <cell r="K73">
            <v>2.5095329434297415</v>
          </cell>
          <cell r="O73" t="str">
            <v>ks</v>
          </cell>
        </row>
        <row r="74">
          <cell r="B74" t="str">
            <v>ECM-VAV-NR</v>
          </cell>
          <cell r="C74" t="str">
            <v>COM-ECM-VAV-7P_V2.xlsm</v>
          </cell>
          <cell r="F74" t="str">
            <v>ECM Motors on Variable Air Volume Boxes</v>
          </cell>
          <cell r="H74">
            <v>27.229691418576945</v>
          </cell>
          <cell r="J74">
            <v>27.229691418576945</v>
          </cell>
          <cell r="K74">
            <v>8.5068284449929461</v>
          </cell>
          <cell r="O74" t="str">
            <v>ks</v>
          </cell>
        </row>
        <row r="75">
          <cell r="B75" t="str">
            <v>Pool pumps-Retro</v>
          </cell>
          <cell r="C75" t="str">
            <v>dropped for 7p</v>
          </cell>
          <cell r="F75" t="str">
            <v>Pool pumps</v>
          </cell>
          <cell r="J75">
            <v>0</v>
          </cell>
          <cell r="K75" t="str">
            <v/>
          </cell>
        </row>
        <row r="76">
          <cell r="B76" t="str">
            <v>MotorsRewind-New</v>
          </cell>
          <cell r="C76" t="str">
            <v>COM-MotorsRewind-7P_v1.xlsm</v>
          </cell>
          <cell r="F76" t="str">
            <v>Motors - Rewind</v>
          </cell>
          <cell r="H76">
            <v>0.59897056594621811</v>
          </cell>
          <cell r="I76">
            <v>0.59897056594621811</v>
          </cell>
          <cell r="J76">
            <v>0.59897056594621811</v>
          </cell>
          <cell r="K76" t="str">
            <v/>
          </cell>
          <cell r="O76" t="str">
            <v>ks</v>
          </cell>
        </row>
        <row r="77">
          <cell r="B77" t="str">
            <v>MotorsRewind-NR</v>
          </cell>
          <cell r="C77" t="str">
            <v>COM-MotorsRewind-7P_v1.xlsm</v>
          </cell>
          <cell r="F77" t="str">
            <v>Motors - Rewind</v>
          </cell>
          <cell r="H77">
            <v>2.6079890407215234</v>
          </cell>
          <cell r="J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J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J79">
            <v>14.07904856503921</v>
          </cell>
          <cell r="K79">
            <v>13.786942026010605</v>
          </cell>
          <cell r="O79" t="str">
            <v>ks</v>
          </cell>
        </row>
        <row r="80">
          <cell r="B80" t="str">
            <v>Engine Generator Block Heaters-Retro</v>
          </cell>
          <cell r="C80" t="str">
            <v>dropped for 7p</v>
          </cell>
          <cell r="F80" t="str">
            <v>Engine Generator Block Heaters</v>
          </cell>
          <cell r="J80">
            <v>0</v>
          </cell>
          <cell r="K80" t="str">
            <v/>
          </cell>
        </row>
        <row r="81">
          <cell r="B81" t="str">
            <v>Grocery Refrigeration Bundle-Retro</v>
          </cell>
          <cell r="C81" t="str">
            <v>Com-Grocery-7P_V5p.xlsx</v>
          </cell>
          <cell r="F81" t="str">
            <v>Grocery Refrigeration Bundle</v>
          </cell>
          <cell r="G81">
            <v>42064</v>
          </cell>
          <cell r="H81">
            <v>63.534810180973587</v>
          </cell>
          <cell r="J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J82">
            <v>0</v>
          </cell>
          <cell r="K82">
            <v>49.431909921506794</v>
          </cell>
        </row>
        <row r="83">
          <cell r="B83" t="str">
            <v>Appliances - Freezers-NR</v>
          </cell>
          <cell r="F83" t="str">
            <v>Appliances - Freezers</v>
          </cell>
          <cell r="J83">
            <v>0</v>
          </cell>
          <cell r="K83" t="str">
            <v/>
          </cell>
        </row>
        <row r="84">
          <cell r="B84" t="str">
            <v>Appliances - Refrigerators-NR</v>
          </cell>
          <cell r="F84" t="str">
            <v>Appliances - Refrigerators</v>
          </cell>
          <cell r="J84">
            <v>0</v>
          </cell>
          <cell r="K84" t="str">
            <v/>
          </cell>
        </row>
        <row r="85">
          <cell r="B85" t="str">
            <v>Water Cooler Controls-NR</v>
          </cell>
          <cell r="C85" t="str">
            <v>Com-WaterCooler-7P_V3.xlsx</v>
          </cell>
          <cell r="F85" t="str">
            <v>Water Cooler Controls</v>
          </cell>
          <cell r="G85">
            <v>42063</v>
          </cell>
          <cell r="H85">
            <v>13.180394293600866</v>
          </cell>
          <cell r="J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J86">
            <v>0.49370461821151984</v>
          </cell>
          <cell r="K86">
            <v>0</v>
          </cell>
          <cell r="O86" t="str">
            <v>ks</v>
          </cell>
        </row>
        <row r="87">
          <cell r="B87" t="str">
            <v>WHTanks-NR</v>
          </cell>
          <cell r="C87" t="str">
            <v>COM-WHTanks-7p_v4.xlsm</v>
          </cell>
          <cell r="F87" t="str">
            <v>DHW - Efficient Tanks</v>
          </cell>
          <cell r="H87">
            <v>2.0446577325813005</v>
          </cell>
          <cell r="J87">
            <v>2.0446577325813005</v>
          </cell>
          <cell r="K87" t="str">
            <v/>
          </cell>
          <cell r="O87" t="str">
            <v>ks</v>
          </cell>
        </row>
        <row r="88">
          <cell r="B88" t="str">
            <v>Appliances - Clothes Washers-NR</v>
          </cell>
          <cell r="F88" t="str">
            <v>Appliances - Clothes Washers</v>
          </cell>
          <cell r="J88">
            <v>0</v>
          </cell>
          <cell r="K88" t="str">
            <v/>
          </cell>
        </row>
        <row r="89">
          <cell r="B89" t="str">
            <v>Showerheads-Retro</v>
          </cell>
          <cell r="C89" t="str">
            <v>COM-Showerhead-7P_v2.xlsm</v>
          </cell>
          <cell r="F89" t="str">
            <v>DHW - Showerheads</v>
          </cell>
          <cell r="H89">
            <v>3.7216771353503777</v>
          </cell>
          <cell r="J89">
            <v>3.7216771353503777</v>
          </cell>
          <cell r="K89" t="str">
            <v/>
          </cell>
          <cell r="O89" t="str">
            <v>ks</v>
          </cell>
        </row>
        <row r="90">
          <cell r="B90" t="str">
            <v>Water Heating - GFHX-New</v>
          </cell>
          <cell r="C90" t="str">
            <v>dropped for 7p</v>
          </cell>
          <cell r="F90" t="str">
            <v>Water Heating - GFHX</v>
          </cell>
          <cell r="J90">
            <v>0</v>
          </cell>
          <cell r="K90" t="str">
            <v/>
          </cell>
        </row>
        <row r="91">
          <cell r="B91" t="str">
            <v>Demand Control Circulating system DHW-Retro</v>
          </cell>
          <cell r="C91" t="str">
            <v>dropped for 7p</v>
          </cell>
          <cell r="F91" t="str">
            <v>Demand Control Circulating system DHW</v>
          </cell>
          <cell r="J91">
            <v>0</v>
          </cell>
          <cell r="K91" t="str">
            <v/>
          </cell>
        </row>
        <row r="92">
          <cell r="B92" t="str">
            <v>Central HPWH MF-Retro</v>
          </cell>
          <cell r="F92" t="str">
            <v>Central HPWH MF</v>
          </cell>
          <cell r="J92">
            <v>0</v>
          </cell>
          <cell r="K92" t="str">
            <v/>
          </cell>
        </row>
        <row r="93">
          <cell r="B93" t="str">
            <v>Ultra Low Energy Building-New</v>
          </cell>
          <cell r="F93" t="str">
            <v>Ultra Low Energy Building</v>
          </cell>
          <cell r="J93">
            <v>7</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J97">
            <v>0</v>
          </cell>
          <cell r="K97">
            <v>1.1088142099641565</v>
          </cell>
        </row>
        <row r="98">
          <cell r="B98" t="str">
            <v>Signage-NR</v>
          </cell>
          <cell r="C98" t="str">
            <v>dropped for 7p</v>
          </cell>
          <cell r="J98">
            <v>0</v>
          </cell>
          <cell r="K98">
            <v>5.6760557940938234</v>
          </cell>
        </row>
        <row r="99">
          <cell r="B99" t="str">
            <v>Exit Signs-NR</v>
          </cell>
          <cell r="C99" t="str">
            <v>dropped for 7p</v>
          </cell>
          <cell r="H99">
            <v>741</v>
          </cell>
          <cell r="J99">
            <v>27.229691418576945</v>
          </cell>
          <cell r="K99">
            <v>4.88794421832577</v>
          </cell>
        </row>
        <row r="100">
          <cell r="B100" t="str">
            <v>Roof Insulation-NR</v>
          </cell>
          <cell r="C100" t="str">
            <v>dropped for 7p</v>
          </cell>
          <cell r="J100">
            <v>40.390797895321441</v>
          </cell>
          <cell r="K100">
            <v>24.79389803241914</v>
          </cell>
        </row>
        <row r="101">
          <cell r="B101" t="str">
            <v>Package Roof Top Optimization and Repair-New</v>
          </cell>
          <cell r="C101" t="str">
            <v>These will be added back into list when completed</v>
          </cell>
          <cell r="J101">
            <v>0</v>
          </cell>
          <cell r="K101">
            <v>4.3297471414332787</v>
          </cell>
        </row>
        <row r="102">
          <cell r="B102" t="str">
            <v>Package Roof Top Optimization and Repair-NR</v>
          </cell>
          <cell r="C102" t="str">
            <v>These will be added back into list when completed</v>
          </cell>
          <cell r="J102">
            <v>0</v>
          </cell>
          <cell r="K102">
            <v>8.0798753943758364</v>
          </cell>
        </row>
        <row r="103">
          <cell r="B103" t="str">
            <v>Package Roof Top Optimization and Repair-Retro</v>
          </cell>
          <cell r="C103" t="str">
            <v>These will be added back into list when completed</v>
          </cell>
          <cell r="J103">
            <v>76.986931526097095</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J112">
            <v>155</v>
          </cell>
          <cell r="L112" t="str">
            <v>power supplies</v>
          </cell>
        </row>
        <row r="113">
          <cell r="B113">
            <v>0</v>
          </cell>
          <cell r="F113">
            <v>0</v>
          </cell>
          <cell r="L113" t="str">
            <v>Computers (in ICE)</v>
          </cell>
        </row>
        <row r="114">
          <cell r="L114" t="str">
            <v>Monitors (in ICE)</v>
          </cell>
        </row>
      </sheetData>
      <sheetData sheetId="3">
        <row r="9">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row>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V19">
            <v>0</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V20">
            <v>0</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V21">
            <v>0</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V22">
            <v>0</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V23">
            <v>0</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V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V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V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V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V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V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V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V32">
            <v>0</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V33">
            <v>0</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V34">
            <v>0</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V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V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V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V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V40">
            <v>0</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V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V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V44">
            <v>0</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V45">
            <v>0</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V46">
            <v>0</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V47">
            <v>0</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V48">
            <v>0</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V49">
            <v>0</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V50">
            <v>0</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V51">
            <v>0</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V52">
            <v>0</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V53">
            <v>0</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V54">
            <v>0</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V55">
            <v>0</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V56">
            <v>0</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V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V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V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V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V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V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V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V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V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V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V68">
            <v>0</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V69">
            <v>0</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V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V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V72">
            <v>0</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V75">
            <v>0</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U76">
            <v>0</v>
          </cell>
          <cell r="V76">
            <v>0</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U77">
            <v>0</v>
          </cell>
          <cell r="V77">
            <v>0</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V78">
            <v>0</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V79">
            <v>0</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U80">
            <v>0</v>
          </cell>
          <cell r="V80">
            <v>0</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V83">
            <v>0</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V84">
            <v>0</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V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V88">
            <v>0</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V89">
            <v>0</v>
          </cell>
          <cell r="W89">
            <v>0</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V90">
            <v>0</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V91">
            <v>0</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V92">
            <v>0</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U94">
            <v>0</v>
          </cell>
          <cell r="V94">
            <v>0</v>
          </cell>
          <cell r="X94">
            <v>1</v>
          </cell>
          <cell r="Y94">
            <v>1</v>
          </cell>
        </row>
        <row r="95">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X95">
            <v>0</v>
          </cell>
        </row>
        <row r="96">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X96">
            <v>0</v>
          </cell>
        </row>
        <row r="97">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X97">
            <v>0</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X98">
            <v>0</v>
          </cell>
        </row>
        <row r="99">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X99">
            <v>0</v>
          </cell>
        </row>
        <row r="100">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X100">
            <v>0</v>
          </cell>
        </row>
        <row r="101">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X101">
            <v>0</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X102">
            <v>0</v>
          </cell>
        </row>
        <row r="103">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From modified DOE:  See IntLightComp</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0">
          <cell r="B10">
            <v>0</v>
          </cell>
          <cell r="C10" t="str">
            <v>Office</v>
          </cell>
          <cell r="D10">
            <v>0</v>
          </cell>
          <cell r="E10">
            <v>0</v>
          </cell>
          <cell r="F10" t="str">
            <v>Retail</v>
          </cell>
          <cell r="G10">
            <v>0</v>
          </cell>
          <cell r="H10">
            <v>0</v>
          </cell>
          <cell r="I10">
            <v>0</v>
          </cell>
          <cell r="J10" t="str">
            <v>School</v>
          </cell>
          <cell r="K10">
            <v>0</v>
          </cell>
          <cell r="L10" t="str">
            <v>Warehouse</v>
          </cell>
          <cell r="M10" t="str">
            <v>Grocery</v>
          </cell>
          <cell r="N10">
            <v>0</v>
          </cell>
          <cell r="O10" t="str">
            <v>Restaurant</v>
          </cell>
          <cell r="P10" t="str">
            <v>Lodging</v>
          </cell>
          <cell r="Q10" t="str">
            <v>Health</v>
          </cell>
          <cell r="R10">
            <v>0</v>
          </cell>
          <cell r="S10" t="str">
            <v>Assembly</v>
          </cell>
          <cell r="T10" t="str">
            <v>Other</v>
          </cell>
          <cell r="U10" t="str">
            <v>Non-Building Applications</v>
          </cell>
          <cell r="V10">
            <v>0</v>
          </cell>
        </row>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cell r="V11" t="str">
            <v>Data Source</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0.25</v>
          </cell>
          <cell r="V15">
            <v>0</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0.2</v>
          </cell>
          <cell r="V16">
            <v>0</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v>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0.2</v>
          </cell>
          <cell r="V18">
            <v>0</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0.25</v>
          </cell>
          <cell r="V19">
            <v>0</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v>
          </cell>
          <cell r="V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0.08</v>
          </cell>
          <cell r="V21">
            <v>0</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cell r="U27">
            <v>0</v>
          </cell>
          <cell r="V27">
            <v>0</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cell r="U28">
            <v>0</v>
          </cell>
          <cell r="V28">
            <v>0</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cell r="U29">
            <v>0</v>
          </cell>
          <cell r="V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cell r="U32">
            <v>0</v>
          </cell>
          <cell r="V32">
            <v>0</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cell r="U33">
            <v>0</v>
          </cell>
          <cell r="V33">
            <v>0</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cell r="U34">
            <v>0</v>
          </cell>
          <cell r="V34">
            <v>0</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cell r="V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0.25</v>
          </cell>
          <cell r="V45">
            <v>0</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row>
        <row r="54">
          <cell r="B54" t="str">
            <v>VRF-New</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U65">
            <v>0</v>
          </cell>
          <cell r="V65" t="str">
            <v>Fixture or Ballast Replacement Cycle</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0.2</v>
          </cell>
          <cell r="V66" t="str">
            <v xml:space="preserve">5-year cycle (lamp cycle) for luminiares requiring bucket truck.  </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0.2</v>
          </cell>
          <cell r="V67" t="str">
            <v>20-Year Fixture Life from CBSA REN RATE</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0.2</v>
          </cell>
          <cell r="V68" t="str">
            <v>Five year cycle for streetlight relamp (DOE &amp; Tarioffs)</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0.2</v>
          </cell>
          <cell r="V69" t="str">
            <v>Five year cycle for streetlight relamp (DOE &amp; Tarioffs)</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row>
        <row r="73">
          <cell r="B73" t="str">
            <v>ECM-VAV-New</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row>
        <row r="74">
          <cell r="B74" t="str">
            <v>ECM-VAV-NR</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row>
        <row r="89">
          <cell r="B89" t="str">
            <v>Showerheads-Retro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4">
          <cell r="C14" t="str">
            <v>LOEven20</v>
          </cell>
        </row>
        <row r="15">
          <cell r="C15" t="str">
            <v>LOMax60</v>
          </cell>
        </row>
        <row r="16">
          <cell r="C16" t="str">
            <v>LO3Slow</v>
          </cell>
        </row>
        <row r="17">
          <cell r="B17">
            <v>0</v>
          </cell>
          <cell r="C17">
            <v>0</v>
          </cell>
        </row>
        <row r="18">
          <cell r="B18" t="str">
            <v>Measure Index Name</v>
          </cell>
          <cell r="C18" t="str">
            <v>Ramp</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v>0</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v>0</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cell r="X21">
            <v>0</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v>0</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cell r="X23">
            <v>0</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v>0</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v>0</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v>0</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cell r="X27">
            <v>0</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v>0</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cell r="X29">
            <v>0</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cell r="X30">
            <v>0</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v>0</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v>0</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v>0</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v>0</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v>0</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v>0</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v>0</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v>0</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v>0</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cell r="X40">
            <v>0</v>
          </cell>
        </row>
        <row r="41">
          <cell r="A41" t="str">
            <v>HVAC</v>
          </cell>
          <cell r="B41" t="str">
            <v>Commercial EM-Retro</v>
          </cell>
          <cell r="C41" t="str">
            <v>RetroEven20</v>
          </cell>
          <cell r="D41">
            <v>0.05</v>
          </cell>
          <cell r="E41">
            <v>0.05</v>
          </cell>
          <cell r="F41">
            <v>0.05</v>
          </cell>
          <cell r="G41">
            <v>0.05</v>
          </cell>
          <cell r="H41">
            <v>0.05</v>
          </cell>
          <cell r="I41">
            <v>0.05</v>
          </cell>
          <cell r="J41">
            <v>0.05</v>
          </cell>
          <cell r="K41">
            <v>0.05</v>
          </cell>
          <cell r="L41">
            <v>0.05</v>
          </cell>
          <cell r="M41">
            <v>0.05</v>
          </cell>
          <cell r="N41">
            <v>0.05</v>
          </cell>
          <cell r="O41">
            <v>0.05</v>
          </cell>
          <cell r="P41">
            <v>0.05</v>
          </cell>
          <cell r="Q41">
            <v>0.05</v>
          </cell>
          <cell r="R41">
            <v>0.05</v>
          </cell>
          <cell r="S41">
            <v>0.05</v>
          </cell>
          <cell r="T41">
            <v>0.05</v>
          </cell>
          <cell r="U41">
            <v>0.05</v>
          </cell>
          <cell r="V41">
            <v>0.05</v>
          </cell>
          <cell r="W41">
            <v>0.05</v>
          </cell>
          <cell r="X41">
            <v>0</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v>0</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v>0</v>
          </cell>
        </row>
        <row r="44">
          <cell r="A44" t="str">
            <v>HVAC</v>
          </cell>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v>0</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v>0</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v>0</v>
          </cell>
        </row>
        <row r="47">
          <cell r="A47" t="str">
            <v>HVAC</v>
          </cell>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v>0</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v>0</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cell r="X49">
            <v>0</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cell r="X50">
            <v>0</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v>0</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v>0</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v>0</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v>0</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cell r="X55">
            <v>0</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cell r="X56">
            <v>0</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cell r="X57">
            <v>0</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cell r="X58">
            <v>0</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cell r="X59">
            <v>0</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cell r="X60">
            <v>0</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v>0</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cell r="X62">
            <v>0</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v>0</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v>0</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cell r="X65">
            <v>0</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cell r="X66">
            <v>0</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cell r="X67">
            <v>0</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cell r="X68">
            <v>0</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v>0</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v>0</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cell r="X71">
            <v>0</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cell r="X72">
            <v>0</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cell r="X73">
            <v>0</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cell r="X74">
            <v>0</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v>0</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v>0</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v>0</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cell r="X78">
            <v>0</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v>0</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v>0</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v>0</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cell r="X82">
            <v>0</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cell r="X83">
            <v>0</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v>0</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cell r="X85">
            <v>0</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v>0</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cell r="X87">
            <v>0</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cell r="X88">
            <v>0</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v>0</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v>0</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v>0</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cell r="X92">
            <v>0</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cell r="X93">
            <v>0</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cell r="X94">
            <v>0</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cell r="X95">
            <v>0</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cell r="X96">
            <v>0</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cell r="X97">
            <v>0</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v>0</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cell r="X99">
            <v>0</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v>0</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cell r="X101">
            <v>0</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v>0</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v>0</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v>0</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v>0</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v>0</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v>0</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v>0</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v>0</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v>0</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v>0</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v>0</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v>0</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v>0</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v>0</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v>0</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sheetData>
      <sheetData sheetId="10">
        <row r="11">
          <cell r="B11" t="str">
            <v>Compressed Air-NR</v>
          </cell>
          <cell r="C11" t="str">
            <v>LPD baseline to minimum of code or 1995-2001 practice.</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B14" t="str">
            <v>POST2013</v>
          </cell>
          <cell r="C14" t="str">
            <v>Office</v>
          </cell>
          <cell r="D14">
            <v>0</v>
          </cell>
          <cell r="E14">
            <v>0</v>
          </cell>
          <cell r="F14" t="str">
            <v>Retail</v>
          </cell>
          <cell r="G14">
            <v>0</v>
          </cell>
          <cell r="H14">
            <v>0</v>
          </cell>
          <cell r="I14">
            <v>0</v>
          </cell>
          <cell r="J14" t="str">
            <v>School</v>
          </cell>
          <cell r="K14">
            <v>0</v>
          </cell>
          <cell r="L14" t="str">
            <v>Warehouse</v>
          </cell>
          <cell r="M14" t="str">
            <v>Grocery</v>
          </cell>
          <cell r="N14">
            <v>0</v>
          </cell>
          <cell r="O14" t="str">
            <v>Restaurant</v>
          </cell>
          <cell r="P14" t="str">
            <v>Lodging</v>
          </cell>
          <cell r="Q14" t="str">
            <v>Health</v>
          </cell>
          <cell r="R14">
            <v>0</v>
          </cell>
          <cell r="S14" t="str">
            <v>Assembly</v>
          </cell>
          <cell r="T14" t="str">
            <v>Other</v>
          </cell>
        </row>
        <row r="15">
          <cell r="B15" t="str">
            <v>FloorA%ACT</v>
          </cell>
          <cell r="C15">
            <v>0.23374291413554329</v>
          </cell>
          <cell r="D15">
            <v>0</v>
          </cell>
          <cell r="E15">
            <v>0</v>
          </cell>
          <cell r="F15">
            <v>0.16379453573805774</v>
          </cell>
          <cell r="G15">
            <v>0</v>
          </cell>
          <cell r="H15">
            <v>0</v>
          </cell>
          <cell r="I15">
            <v>0</v>
          </cell>
          <cell r="J15">
            <v>8.8639553331737689E-2</v>
          </cell>
          <cell r="K15">
            <v>0</v>
          </cell>
          <cell r="L15">
            <v>9.6266945662747766E-2</v>
          </cell>
          <cell r="M15">
            <v>2.0434554153352484E-2</v>
          </cell>
          <cell r="N15">
            <v>0</v>
          </cell>
          <cell r="O15">
            <v>1.255060122823257E-2</v>
          </cell>
          <cell r="P15">
            <v>5.5794347273117245E-2</v>
          </cell>
          <cell r="Q15">
            <v>7.398534349162611E-2</v>
          </cell>
          <cell r="R15">
            <v>0</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D23">
            <v>0</v>
          </cell>
          <cell r="E23">
            <v>0</v>
          </cell>
          <cell r="F23">
            <v>0.86075287434919978</v>
          </cell>
          <cell r="G23">
            <v>0</v>
          </cell>
          <cell r="H23">
            <v>0</v>
          </cell>
          <cell r="I23">
            <v>0</v>
          </cell>
          <cell r="J23">
            <v>0.87263881668019661</v>
          </cell>
          <cell r="K23">
            <v>0</v>
          </cell>
          <cell r="L23">
            <v>0.18162271351024481</v>
          </cell>
          <cell r="M23">
            <v>0.897277257424139</v>
          </cell>
          <cell r="N23">
            <v>0</v>
          </cell>
          <cell r="O23">
            <v>0.99999997512427186</v>
          </cell>
          <cell r="P23">
            <v>0.94438859080377269</v>
          </cell>
          <cell r="Q23">
            <v>0.89616933002437993</v>
          </cell>
          <cell r="R23">
            <v>0</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D25">
            <v>0</v>
          </cell>
          <cell r="E25">
            <v>0</v>
          </cell>
          <cell r="F25">
            <v>0.78455381811533043</v>
          </cell>
          <cell r="G25">
            <v>0</v>
          </cell>
          <cell r="H25">
            <v>0</v>
          </cell>
          <cell r="I25">
            <v>0</v>
          </cell>
          <cell r="J25">
            <v>0.36953195539995587</v>
          </cell>
          <cell r="K25">
            <v>0</v>
          </cell>
          <cell r="L25">
            <v>0.35</v>
          </cell>
          <cell r="M25">
            <v>0.90000000000000013</v>
          </cell>
          <cell r="N25">
            <v>0</v>
          </cell>
          <cell r="O25">
            <v>0.95</v>
          </cell>
          <cell r="P25">
            <v>0.5</v>
          </cell>
          <cell r="Q25">
            <v>0.45832204515370584</v>
          </cell>
          <cell r="R25">
            <v>0</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D27">
            <v>0</v>
          </cell>
          <cell r="E27">
            <v>0</v>
          </cell>
          <cell r="F27">
            <v>6.2181060258327321E-2</v>
          </cell>
          <cell r="G27">
            <v>0</v>
          </cell>
          <cell r="H27">
            <v>0</v>
          </cell>
          <cell r="I27">
            <v>0</v>
          </cell>
          <cell r="J27">
            <v>0.75664862673331257</v>
          </cell>
          <cell r="K27">
            <v>0</v>
          </cell>
          <cell r="L27">
            <v>0.10310000000000001</v>
          </cell>
          <cell r="M27">
            <v>0.11560000000000001</v>
          </cell>
          <cell r="N27">
            <v>0</v>
          </cell>
          <cell r="O27">
            <v>0.11560000000000001</v>
          </cell>
          <cell r="P27">
            <v>0.32380000000000003</v>
          </cell>
          <cell r="Q27">
            <v>0.83345440239005475</v>
          </cell>
          <cell r="R27">
            <v>0</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D29">
            <v>0</v>
          </cell>
          <cell r="E29">
            <v>0</v>
          </cell>
          <cell r="F29">
            <v>2.3808219851502894E-3</v>
          </cell>
          <cell r="G29">
            <v>0</v>
          </cell>
          <cell r="H29">
            <v>0</v>
          </cell>
          <cell r="I29">
            <v>0</v>
          </cell>
          <cell r="J29">
            <v>0.30214896654996692</v>
          </cell>
          <cell r="K29">
            <v>0</v>
          </cell>
          <cell r="L29">
            <v>0</v>
          </cell>
          <cell r="M29">
            <v>0</v>
          </cell>
          <cell r="N29">
            <v>0</v>
          </cell>
          <cell r="O29">
            <v>0</v>
          </cell>
          <cell r="P29">
            <v>0</v>
          </cell>
          <cell r="Q29">
            <v>0.42833559096925883</v>
          </cell>
          <cell r="R29">
            <v>0</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B61">
            <v>0</v>
          </cell>
          <cell r="C61" t="str">
            <v>Office</v>
          </cell>
          <cell r="D61" t="str">
            <v>Office</v>
          </cell>
          <cell r="E61" t="str">
            <v>Office</v>
          </cell>
          <cell r="F61" t="str">
            <v>Retail/Service</v>
          </cell>
          <cell r="G61" t="str">
            <v>Retail/Service</v>
          </cell>
          <cell r="H61" t="str">
            <v>Retail/Service</v>
          </cell>
          <cell r="I61" t="str">
            <v>Retail/Service</v>
          </cell>
          <cell r="J61">
            <v>0</v>
          </cell>
          <cell r="K61">
            <v>0</v>
          </cell>
          <cell r="L61">
            <v>0</v>
          </cell>
          <cell r="M61" t="str">
            <v>Grocery</v>
          </cell>
          <cell r="N61" t="str">
            <v>Grocery</v>
          </cell>
          <cell r="O61">
            <v>0</v>
          </cell>
          <cell r="P61">
            <v>0</v>
          </cell>
          <cell r="Q61">
            <v>0</v>
          </cell>
          <cell r="R61">
            <v>0</v>
          </cell>
          <cell r="S61">
            <v>0</v>
          </cell>
          <cell r="T61">
            <v>0</v>
          </cell>
          <cell r="Y61" t="str">
            <v>Average of msf.pnw.frac</v>
          </cell>
        </row>
        <row r="62">
          <cell r="B62" t="str">
            <v>_PRE2013</v>
          </cell>
          <cell r="C62" t="str">
            <v>Office</v>
          </cell>
          <cell r="D62">
            <v>0</v>
          </cell>
          <cell r="E62">
            <v>0</v>
          </cell>
          <cell r="F62" t="str">
            <v>Retail/Service</v>
          </cell>
          <cell r="G62">
            <v>0</v>
          </cell>
          <cell r="H62">
            <v>0</v>
          </cell>
          <cell r="I62">
            <v>0</v>
          </cell>
          <cell r="J62" t="str">
            <v>School</v>
          </cell>
          <cell r="K62">
            <v>0</v>
          </cell>
          <cell r="L62" t="str">
            <v>Warehouse</v>
          </cell>
          <cell r="M62" t="str">
            <v>Grocery</v>
          </cell>
          <cell r="N62">
            <v>0</v>
          </cell>
          <cell r="O62" t="str">
            <v>Restaurant</v>
          </cell>
          <cell r="P62" t="str">
            <v>Lodging</v>
          </cell>
          <cell r="Q62" t="str">
            <v>Health</v>
          </cell>
          <cell r="R62">
            <v>0</v>
          </cell>
          <cell r="S62" t="str">
            <v>Assembly</v>
          </cell>
          <cell r="T62" t="str">
            <v>Other</v>
          </cell>
          <cell r="Y62" t="str">
            <v>Row Labels</v>
          </cell>
        </row>
        <row r="63">
          <cell r="B63" t="str">
            <v>FloorA%ACT</v>
          </cell>
          <cell r="C63">
            <v>0.21925891959556321</v>
          </cell>
          <cell r="D63">
            <v>0</v>
          </cell>
          <cell r="E63">
            <v>0</v>
          </cell>
          <cell r="F63">
            <v>0.170463671983236</v>
          </cell>
          <cell r="G63">
            <v>0</v>
          </cell>
          <cell r="H63">
            <v>0</v>
          </cell>
          <cell r="I63">
            <v>0</v>
          </cell>
          <cell r="J63">
            <v>0.11027533939050128</v>
          </cell>
          <cell r="K63">
            <v>0</v>
          </cell>
          <cell r="L63">
            <v>0.13203580856943528</v>
          </cell>
          <cell r="M63">
            <v>2.3026138677721724E-2</v>
          </cell>
          <cell r="N63">
            <v>0</v>
          </cell>
          <cell r="O63">
            <v>1.5835296654172451E-2</v>
          </cell>
          <cell r="P63">
            <v>5.1068065124091046E-2</v>
          </cell>
          <cell r="Q63">
            <v>6.8347557000163706E-2</v>
          </cell>
          <cell r="R63">
            <v>0</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D71">
            <v>0</v>
          </cell>
          <cell r="E71">
            <v>0</v>
          </cell>
          <cell r="F71">
            <v>0.74176230846303148</v>
          </cell>
          <cell r="G71">
            <v>0</v>
          </cell>
          <cell r="H71">
            <v>0</v>
          </cell>
          <cell r="I71">
            <v>0</v>
          </cell>
          <cell r="J71">
            <v>0.7142495586900468</v>
          </cell>
          <cell r="K71">
            <v>0</v>
          </cell>
          <cell r="L71">
            <v>0.23</v>
          </cell>
          <cell r="M71">
            <v>0.8973671844904727</v>
          </cell>
          <cell r="N71">
            <v>0</v>
          </cell>
          <cell r="O71">
            <v>0.96</v>
          </cell>
          <cell r="P71">
            <v>0.88</v>
          </cell>
          <cell r="Q71">
            <v>0.88824220129049314</v>
          </cell>
          <cell r="R71">
            <v>0</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D73">
            <v>0</v>
          </cell>
          <cell r="E73">
            <v>0</v>
          </cell>
          <cell r="F73">
            <v>0.63256057960735712</v>
          </cell>
          <cell r="G73">
            <v>0</v>
          </cell>
          <cell r="H73">
            <v>0</v>
          </cell>
          <cell r="I73">
            <v>0</v>
          </cell>
          <cell r="J73">
            <v>0.33750430289294164</v>
          </cell>
          <cell r="K73">
            <v>0</v>
          </cell>
          <cell r="L73">
            <v>0.31046750131883327</v>
          </cell>
          <cell r="M73">
            <v>0.90000000000000013</v>
          </cell>
          <cell r="N73">
            <v>0</v>
          </cell>
          <cell r="O73">
            <v>0.76718515286285394</v>
          </cell>
          <cell r="P73">
            <v>0.41303161997673743</v>
          </cell>
          <cell r="Q73">
            <v>0.49902981576861571</v>
          </cell>
          <cell r="R73">
            <v>0</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D75">
            <v>0</v>
          </cell>
          <cell r="E75">
            <v>0</v>
          </cell>
          <cell r="F75">
            <v>5.0679867043271966E-2</v>
          </cell>
          <cell r="G75">
            <v>0</v>
          </cell>
          <cell r="H75">
            <v>0</v>
          </cell>
          <cell r="I75">
            <v>0</v>
          </cell>
          <cell r="J75">
            <v>0.45710103517657202</v>
          </cell>
          <cell r="K75">
            <v>0</v>
          </cell>
          <cell r="L75">
            <v>5.6541361272701172E-2</v>
          </cell>
          <cell r="M75">
            <v>8.7372210868686184E-2</v>
          </cell>
          <cell r="N75">
            <v>0</v>
          </cell>
          <cell r="O75">
            <v>5.746308592387158E-2</v>
          </cell>
          <cell r="P75">
            <v>0.3949582335084047</v>
          </cell>
          <cell r="Q75">
            <v>0.5613264299674231</v>
          </cell>
          <cell r="R75">
            <v>0</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D77">
            <v>0</v>
          </cell>
          <cell r="E77">
            <v>0</v>
          </cell>
          <cell r="F77">
            <v>0.01</v>
          </cell>
          <cell r="G77">
            <v>0</v>
          </cell>
          <cell r="H77">
            <v>0</v>
          </cell>
          <cell r="I77">
            <v>0</v>
          </cell>
          <cell r="J77">
            <v>0.11</v>
          </cell>
          <cell r="K77">
            <v>0</v>
          </cell>
          <cell r="L77">
            <v>0</v>
          </cell>
          <cell r="M77">
            <v>0</v>
          </cell>
          <cell r="N77">
            <v>0</v>
          </cell>
          <cell r="O77">
            <v>0</v>
          </cell>
          <cell r="P77">
            <v>0.04</v>
          </cell>
          <cell r="Q77">
            <v>0.21527670664708273</v>
          </cell>
          <cell r="R77">
            <v>0</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str">
            <v>HVAC System Improvements</v>
          </cell>
          <cell r="C28" t="str">
            <v>Low Pressure Distribution Complex HVAC</v>
          </cell>
          <cell r="D28" t="str">
            <v>Low Pressure Distribution Complex HVAC</v>
          </cell>
          <cell r="E28" t="str">
            <v>CBSA 2014</v>
          </cell>
          <cell r="F28" t="str">
            <v>Some</v>
          </cell>
          <cell r="H28" t="str">
            <v>New</v>
          </cell>
          <cell r="I28">
            <v>0</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Case)"/>
      <sheetName val="Pop Forecast (Base Case)"/>
      <sheetName val="Pop Forecast (Low Case)"/>
      <sheetName val="DEI (Base Case)"/>
      <sheetName val="Dairy Forecast (Base Case)"/>
      <sheetName val="Dairy Forecast (Low)"/>
      <sheetName val="Dairy Forecast (High)"/>
      <sheetName val="EV Forecast (Base Case)"/>
      <sheetName val="EV Forecast (Low)"/>
      <sheetName val="EV Forecast (High)"/>
      <sheetName val="7P Forecasts D2"/>
      <sheetName val="Pop Forecast (High)"/>
      <sheetName val="Pop Forecast (Low)"/>
      <sheetName val="Region Load (Base Case)"/>
      <sheetName val="Region Load (High)"/>
      <sheetName val="Region Load (Low)"/>
      <sheetName val="DataCenter Forecast (Base Case)"/>
      <sheetName val="DataCenter Forecast (High)"/>
      <sheetName val="DataCenter Forecast (Low)"/>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row>
        <row r="99">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row>
        <row r="104">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row>
        <row r="120">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row>
        <row r="121">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row>
        <row r="123">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row>
        <row r="133">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row>
        <row r="134">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row>
        <row r="135">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row>
        <row r="137">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row>
        <row r="143">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row>
        <row r="144">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row>
        <row r="146">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row>
        <row r="150">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row>
        <row r="151">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row>
        <row r="153">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row>
        <row r="154">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row>
        <row r="155">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row>
        <row r="156">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row>
        <row r="159">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row>
        <row r="160">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row>
        <row r="161">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row>
        <row r="162">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row>
        <row r="163">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row>
        <row r="164">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row>
        <row r="165">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row>
        <row r="205">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row>
        <row r="206">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row>
        <row r="207">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row>
        <row r="208">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row>
        <row r="209">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row>
        <row r="210">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row>
        <row r="211">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3">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row>
        <row r="214">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row>
        <row r="216">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row>
        <row r="217">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row>
        <row r="218">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row>
        <row r="219">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row>
        <row r="220">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row>
        <row r="221">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row>
        <row r="222">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row>
        <row r="223">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row>
        <row r="224">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row>
        <row r="225">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row>
        <row r="226">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row>
        <row r="227">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row>
        <row r="231">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row>
        <row r="234">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row>
        <row r="235">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row>
        <row r="236">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row>
        <row r="237">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row>
        <row r="239">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row>
        <row r="240">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row>
        <row r="241">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row>
        <row r="242">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row>
        <row r="246">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row>
        <row r="247">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row>
        <row r="249">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row>
        <row r="250">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row>
        <row r="251">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row>
        <row r="252">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row>
        <row r="253">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row>
        <row r="254">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row>
        <row r="255">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row>
        <row r="256">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row>
        <row r="257">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row>
        <row r="265">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row>
        <row r="267">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row>
        <row r="268">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row>
        <row r="269">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row>
        <row r="270">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row>
        <row r="271">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row>
        <row r="272">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row>
        <row r="274">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row>
        <row r="276">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row>
        <row r="278">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row>
        <row r="281">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row>
        <row r="283">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row>
        <row r="290">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row>
        <row r="291">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row>
        <row r="292">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row>
        <row r="293">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row>
        <row r="294">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row>
        <row r="295">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row>
        <row r="296">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row>
        <row r="298">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row>
        <row r="299">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row>
        <row r="300">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row>
        <row r="304">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row>
        <row r="306">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row>
        <row r="307">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row>
        <row r="308">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row>
        <row r="309">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row>
        <row r="310">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row>
        <row r="315">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row>
        <row r="316">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row>
        <row r="317">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row>
        <row r="318">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row>
        <row r="321">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row>
        <row r="323">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row>
        <row r="324">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row>
        <row r="325">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row>
        <row r="326">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row>
        <row r="327">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row>
        <row r="328">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row>
        <row r="329">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row>
        <row r="330">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row>
        <row r="331">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row>
        <row r="332">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row>
        <row r="333">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row>
        <row r="334">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row>
        <row r="335">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row>
        <row r="336">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row>
        <row r="338">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row>
        <row r="340">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row>
        <row r="342">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row>
        <row r="343">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row>
        <row r="344">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row>
        <row r="345">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row>
        <row r="346">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row>
        <row r="347">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row>
        <row r="348">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row>
        <row r="349">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row>
        <row r="350">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row>
        <row r="351">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row>
        <row r="352">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row>
        <row r="354">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row>
        <row r="355">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row>
        <row r="360">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row>
        <row r="361">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row>
        <row r="362">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row>
        <row r="363">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row>
        <row r="374">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row>
        <row r="382">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row>
        <row r="383">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row>
        <row r="384">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row>
        <row r="385">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row>
        <row r="386">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row>
        <row r="387">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row>
        <row r="388">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row>
        <row r="389">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row>
        <row r="390">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row>
        <row r="391">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row>
        <row r="392">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row>
        <row r="393">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row>
        <row r="395">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row>
        <row r="396">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row>
        <row r="397">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row>
        <row r="398">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row>
        <row r="399">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row>
        <row r="400">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row>
        <row r="401">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row>
        <row r="402">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row>
        <row r="403">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row>
        <row r="404">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row>
        <row r="405">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row>
        <row r="406">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row>
        <row r="407">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row>
        <row r="408">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row>
        <row r="410">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row>
        <row r="411">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row>
        <row r="412">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row>
        <row r="413">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row>
        <row r="414">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row>
        <row r="415">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row>
        <row r="416">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row>
        <row r="421">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row>
        <row r="422">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row>
        <row r="423">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row>
        <row r="424">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row>
        <row r="427">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row>
        <row r="428">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row>
        <row r="429">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row>
        <row r="430">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row>
        <row r="431">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row>
        <row r="432">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row>
        <row r="434">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row>
        <row r="435">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row>
        <row r="436">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row>
        <row r="438">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row>
        <row r="439">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row>
        <row r="440">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row>
        <row r="441">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row>
        <row r="442">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row>
        <row r="443">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row>
        <row r="444">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row>
        <row r="445">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row>
        <row r="446">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row>
        <row r="447">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row>
        <row r="448">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row>
        <row r="449">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row>
        <row r="450">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row>
        <row r="451">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row>
        <row r="452">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row>
        <row r="453">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row>
        <row r="454">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row>
        <row r="455">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row>
        <row r="456">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row>
        <row r="457">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row>
        <row r="458">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row>
        <row r="459">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row>
        <row r="460">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row>
        <row r="462">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row>
        <row r="463">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row>
        <row r="464">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row>
        <row r="465">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row>
        <row r="466">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row>
        <row r="468">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row>
        <row r="469">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row>
        <row r="470">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row>
        <row r="471">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row>
        <row r="472">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row>
        <row r="473">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row>
        <row r="474">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row>
        <row r="475">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row>
        <row r="476">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row>
        <row r="477">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row>
        <row r="478">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row>
        <row r="479">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row>
        <row r="480">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row>
        <row r="482">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row>
        <row r="483">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row>
        <row r="484">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row>
        <row r="485">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row>
        <row r="486">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row>
        <row r="487">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row>
        <row r="488">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row>
        <row r="493">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row>
        <row r="494">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row>
        <row r="495">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row>
        <row r="496">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row>
        <row r="498">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row>
        <row r="6">
          <cell r="B6" t="str">
            <v>OrPopStock</v>
          </cell>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row>
        <row r="7">
          <cell r="B7" t="str">
            <v>WAPopStock</v>
          </cell>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row>
        <row r="8">
          <cell r="B8" t="str">
            <v>IDPopStock</v>
          </cell>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row>
        <row r="9">
          <cell r="B9" t="str">
            <v>MTPopStock</v>
          </cell>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row>
        <row r="10">
          <cell r="B10" t="str">
            <v>RegionPopStock</v>
          </cell>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row>
      </sheetData>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G158">
            <v>302.9944263448574</v>
          </cell>
          <cell r="H158">
            <v>302.99854171936556</v>
          </cell>
          <cell r="I158">
            <v>303.37745755767685</v>
          </cell>
          <cell r="J158">
            <v>303.22585086442132</v>
          </cell>
          <cell r="K158">
            <v>303.08168683583153</v>
          </cell>
          <cell r="L158">
            <v>303.41916012380017</v>
          </cell>
          <cell r="M158">
            <v>303.66433680226078</v>
          </cell>
          <cell r="N158">
            <v>303.05007715937325</v>
          </cell>
          <cell r="O158">
            <v>303.01007717776395</v>
          </cell>
          <cell r="P158">
            <v>303.01283415030065</v>
          </cell>
          <cell r="Q158">
            <v>301.41907423058802</v>
          </cell>
          <cell r="R158">
            <v>301.23823851251768</v>
          </cell>
          <cell r="S158">
            <v>300.88004828067164</v>
          </cell>
          <cell r="T158">
            <v>300.32350497753021</v>
          </cell>
          <cell r="U158">
            <v>299.65600067965477</v>
          </cell>
          <cell r="V158">
            <v>299.65485493072765</v>
          </cell>
          <cell r="W158">
            <v>298.68839934499135</v>
          </cell>
          <cell r="X158">
            <v>297.75098083368539</v>
          </cell>
          <cell r="Y158">
            <v>297.76126931363558</v>
          </cell>
        </row>
        <row r="159">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23454.911455817379</v>
          </cell>
          <cell r="H161">
            <v>23792.092677478962</v>
          </cell>
          <cell r="I161">
            <v>24172.720330851218</v>
          </cell>
          <cell r="J161">
            <v>24563.174433322645</v>
          </cell>
          <cell r="K161">
            <v>24961.970829594466</v>
          </cell>
          <cell r="L161">
            <v>25382.617892650364</v>
          </cell>
          <cell r="M161">
            <v>25816.870988279781</v>
          </cell>
          <cell r="N161">
            <v>26294.7698712413</v>
          </cell>
          <cell r="O161">
            <v>26811.375705956845</v>
          </cell>
          <cell r="P161">
            <v>27409.251936579374</v>
          </cell>
          <cell r="Q161">
            <v>27961.945710616601</v>
          </cell>
          <cell r="R161">
            <v>28532.929829306326</v>
          </cell>
          <cell r="S161">
            <v>29040.705947797123</v>
          </cell>
          <cell r="T161">
            <v>29565.241336990628</v>
          </cell>
          <cell r="U161">
            <v>30122.174072072834</v>
          </cell>
          <cell r="V161">
            <v>30647.299712044718</v>
          </cell>
          <cell r="W161">
            <v>31134.706988502006</v>
          </cell>
          <cell r="X161">
            <v>31688.624034362507</v>
          </cell>
          <cell r="Y161">
            <v>32097.375053541567</v>
          </cell>
          <cell r="AB161">
            <v>0</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 sheetId="25" refreshError="1"/>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C-New"/>
      <sheetName val="SC-NR"/>
      <sheetName val="SC-IntD"/>
      <sheetName val="ProData"/>
      <sheetName val="MMap"/>
      <sheetName val="MDataMeas"/>
      <sheetName val="MDataEquip"/>
      <sheetName val="MData Btype"/>
      <sheetName val="MDataRWT NR Btype"/>
      <sheetName val="MDataRWT New Btype"/>
      <sheetName val="MDataRWT NR Chiller Btype"/>
      <sheetName val="MDataRWT NR Unitary Btype"/>
      <sheetName val="MDataRWT NR WSHP Btype"/>
      <sheetName val="MDataRWT NR ASHP Btype"/>
      <sheetName val="MDataRWT New Chiller Btype"/>
      <sheetName val="MDataRWT New Unitary Btype"/>
      <sheetName val="MDataRWT New WSHP Btype"/>
      <sheetName val="MDataRWT New ASHP BType"/>
      <sheetName val="2008 Savings"/>
      <sheetName val="Costs 2008"/>
      <sheetName val="Cooling Loads"/>
      <sheetName val="Heating Loads"/>
      <sheetName val="6PSourceSummary"/>
      <sheetName val="Notes and Sources 2008"/>
      <sheetName val="National Standards - UNITARY"/>
      <sheetName val="National Standards-Chillers"/>
      <sheetName val="Air Cooled Chillers"/>
      <sheetName val="Local Codes 2004"/>
      <sheetName val="Notes and Sources 2004"/>
      <sheetName val="PNNL Savings 2004"/>
      <sheetName val="Costs 2004"/>
      <sheetName val="FLEOH"/>
      <sheetName val="To Do"/>
      <sheetName val="5PMDataNR"/>
      <sheetName val="5PMDataNew"/>
      <sheetName val="5PMDataNew-IntD"/>
      <sheetName val="5PSummary"/>
      <sheetName val="PIVOTMMap"/>
      <sheetName val="PC-HVACEQUIP-6P-D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1">
          <cell r="B11" t="str">
            <v>Large Off - NR</v>
          </cell>
          <cell r="C11" t="str">
            <v>NR</v>
          </cell>
          <cell r="D11" t="str">
            <v>PRE2002</v>
          </cell>
          <cell r="F11">
            <v>0.20549655920219931</v>
          </cell>
          <cell r="G11">
            <v>0.7</v>
          </cell>
          <cell r="H11">
            <v>9.4503440797800736E-2</v>
          </cell>
          <cell r="I11">
            <v>2.9503440797800734E-2</v>
          </cell>
          <cell r="J11">
            <v>6.5000000000000002E-2</v>
          </cell>
          <cell r="L11">
            <v>3</v>
          </cell>
          <cell r="M11">
            <v>9.1600000000000001E-2</v>
          </cell>
          <cell r="N11">
            <v>0.1</v>
          </cell>
          <cell r="O11">
            <v>0.27479999999999999</v>
          </cell>
          <cell r="P11">
            <v>0.30000000000000004</v>
          </cell>
          <cell r="Q11">
            <v>0.2942810237772101</v>
          </cell>
          <cell r="R11">
            <v>0.33191666666666658</v>
          </cell>
          <cell r="S11">
            <v>9.9617975111006313E-2</v>
          </cell>
          <cell r="T11">
            <v>0.15233665342814995</v>
          </cell>
          <cell r="V11">
            <v>1</v>
          </cell>
          <cell r="W11">
            <v>0.1</v>
          </cell>
          <cell r="X11">
            <v>0.1</v>
          </cell>
          <cell r="Y11">
            <v>4.4999999999999998E-2</v>
          </cell>
          <cell r="Z11">
            <v>0.14000000000000001</v>
          </cell>
          <cell r="AA11">
            <v>0.1</v>
          </cell>
          <cell r="AB11">
            <v>0.30000000000000004</v>
          </cell>
          <cell r="AC11">
            <v>0.4</v>
          </cell>
          <cell r="AD11">
            <v>4.4999999999999998E-2</v>
          </cell>
          <cell r="AE11">
            <v>0.42000000000000004</v>
          </cell>
          <cell r="AF11">
            <v>0.46500000000000002</v>
          </cell>
          <cell r="AG11">
            <v>0.49185000000000001</v>
          </cell>
          <cell r="AH11">
            <v>0.15</v>
          </cell>
          <cell r="AI11">
            <v>0.25672364044720469</v>
          </cell>
        </row>
        <row r="12">
          <cell r="B12" t="str">
            <v>Medium Off - NR</v>
          </cell>
          <cell r="C12" t="str">
            <v>NR</v>
          </cell>
          <cell r="D12" t="str">
            <v>PRE2002</v>
          </cell>
          <cell r="F12">
            <v>0.61960363500828575</v>
          </cell>
          <cell r="G12">
            <v>0.15000000000000002</v>
          </cell>
          <cell r="H12">
            <v>0.23039636499171423</v>
          </cell>
          <cell r="I12">
            <v>0.16539636499171423</v>
          </cell>
          <cell r="J12">
            <v>6.5000000000000002E-2</v>
          </cell>
          <cell r="L12">
            <v>2</v>
          </cell>
          <cell r="M12">
            <v>9.1600000000000001E-2</v>
          </cell>
          <cell r="N12">
            <v>0.1</v>
          </cell>
          <cell r="O12">
            <v>0.1832</v>
          </cell>
          <cell r="P12">
            <v>0.2</v>
          </cell>
          <cell r="Q12">
            <v>0.18647441280857888</v>
          </cell>
          <cell r="R12">
            <v>0.33191666666666658</v>
          </cell>
          <cell r="S12">
            <v>9.9617975111006313E-2</v>
          </cell>
          <cell r="T12">
            <v>0.2866403683901208</v>
          </cell>
          <cell r="V12">
            <v>1.25</v>
          </cell>
          <cell r="W12">
            <v>0.1</v>
          </cell>
          <cell r="X12">
            <v>0.1</v>
          </cell>
          <cell r="Y12">
            <v>4.4999999999999998E-2</v>
          </cell>
          <cell r="Z12">
            <v>0.14000000000000001</v>
          </cell>
          <cell r="AA12">
            <v>0.125</v>
          </cell>
          <cell r="AB12">
            <v>0.2</v>
          </cell>
          <cell r="AC12">
            <v>0.32500000000000001</v>
          </cell>
          <cell r="AD12">
            <v>5.6249999999999994E-2</v>
          </cell>
          <cell r="AE12">
            <v>0.28000000000000003</v>
          </cell>
          <cell r="AF12">
            <v>0.33625000000000005</v>
          </cell>
          <cell r="AG12">
            <v>0.49185000000000001</v>
          </cell>
          <cell r="AH12">
            <v>0.15</v>
          </cell>
          <cell r="AI12">
            <v>0.39540642112322777</v>
          </cell>
        </row>
        <row r="13">
          <cell r="B13" t="str">
            <v>Small Off - NR</v>
          </cell>
          <cell r="C13" t="str">
            <v>NR</v>
          </cell>
          <cell r="D13" t="str">
            <v>PRE2002</v>
          </cell>
          <cell r="F13">
            <v>0.78432855763125553</v>
          </cell>
          <cell r="G13">
            <v>0</v>
          </cell>
          <cell r="H13">
            <v>0.2156714423687445</v>
          </cell>
          <cell r="I13">
            <v>0.1506714423687445</v>
          </cell>
          <cell r="J13">
            <v>6.5000000000000002E-2</v>
          </cell>
          <cell r="L13">
            <v>1.5</v>
          </cell>
          <cell r="M13">
            <v>9.1600000000000001E-2</v>
          </cell>
          <cell r="N13">
            <v>0.1</v>
          </cell>
          <cell r="O13">
            <v>0.13739999999999999</v>
          </cell>
          <cell r="P13">
            <v>0.15000000000000002</v>
          </cell>
          <cell r="Q13">
            <v>0.13739999999999999</v>
          </cell>
          <cell r="R13">
            <v>0.33191666666666658</v>
          </cell>
          <cell r="S13">
            <v>9.9617975111006313E-2</v>
          </cell>
          <cell r="T13">
            <v>0.33191666666666658</v>
          </cell>
          <cell r="V13">
            <v>1.25</v>
          </cell>
          <cell r="W13">
            <v>0.1</v>
          </cell>
          <cell r="X13">
            <v>0.1</v>
          </cell>
          <cell r="Y13">
            <v>4.4999999999999998E-2</v>
          </cell>
          <cell r="Z13">
            <v>0.14000000000000001</v>
          </cell>
          <cell r="AA13">
            <v>0.125</v>
          </cell>
          <cell r="AB13">
            <v>0.15000000000000002</v>
          </cell>
          <cell r="AC13">
            <v>0.27500000000000002</v>
          </cell>
          <cell r="AD13">
            <v>5.6249999999999994E-2</v>
          </cell>
          <cell r="AE13">
            <v>0.21000000000000002</v>
          </cell>
          <cell r="AF13">
            <v>0.26624999999999999</v>
          </cell>
          <cell r="AG13">
            <v>0.49185000000000001</v>
          </cell>
          <cell r="AH13">
            <v>0.15</v>
          </cell>
          <cell r="AI13">
            <v>0.38882175594528223</v>
          </cell>
        </row>
        <row r="14">
          <cell r="B14" t="str">
            <v>Big Box - NR</v>
          </cell>
          <cell r="C14" t="str">
            <v>NR</v>
          </cell>
          <cell r="D14" t="str">
            <v>PRE2002</v>
          </cell>
          <cell r="E14">
            <v>3.9199999999999999E-2</v>
          </cell>
          <cell r="F14">
            <v>0.72796757185696792</v>
          </cell>
          <cell r="G14">
            <v>5.000000000000001E-2</v>
          </cell>
          <cell r="H14">
            <v>0.18283242814303202</v>
          </cell>
          <cell r="I14">
            <v>0.18283242814303202</v>
          </cell>
          <cell r="J14">
            <v>0</v>
          </cell>
          <cell r="L14">
            <v>1.5</v>
          </cell>
          <cell r="M14">
            <v>9.1600000000000001E-2</v>
          </cell>
          <cell r="N14">
            <v>0.1</v>
          </cell>
          <cell r="O14">
            <v>0.13739999999999999</v>
          </cell>
          <cell r="P14">
            <v>0.15000000000000002</v>
          </cell>
          <cell r="Q14">
            <v>0.13820980239124392</v>
          </cell>
          <cell r="R14">
            <v>0.33191666666666658</v>
          </cell>
          <cell r="S14">
            <v>9.9617975111006313E-2</v>
          </cell>
          <cell r="T14">
            <v>0.3169868225472533</v>
          </cell>
          <cell r="V14">
            <v>1</v>
          </cell>
          <cell r="W14">
            <v>0.1</v>
          </cell>
          <cell r="X14">
            <v>0.1</v>
          </cell>
          <cell r="Y14">
            <v>4.4999999999999998E-2</v>
          </cell>
          <cell r="Z14">
            <v>0.14000000000000001</v>
          </cell>
          <cell r="AA14">
            <v>0.1</v>
          </cell>
          <cell r="AB14">
            <v>0.15000000000000002</v>
          </cell>
          <cell r="AC14">
            <v>0.25</v>
          </cell>
          <cell r="AD14">
            <v>4.4999999999999998E-2</v>
          </cell>
          <cell r="AE14">
            <v>0.21000000000000002</v>
          </cell>
          <cell r="AF14">
            <v>0.255</v>
          </cell>
          <cell r="AG14">
            <v>0.49185000000000001</v>
          </cell>
          <cell r="AH14">
            <v>0.15</v>
          </cell>
          <cell r="AI14">
            <v>0.49184999999999995</v>
          </cell>
        </row>
        <row r="15">
          <cell r="B15" t="str">
            <v>Small Box - NR</v>
          </cell>
          <cell r="C15" t="str">
            <v>NR</v>
          </cell>
          <cell r="D15" t="str">
            <v>PRE2002</v>
          </cell>
          <cell r="F15">
            <v>0.86083475795479114</v>
          </cell>
          <cell r="G15">
            <v>0</v>
          </cell>
          <cell r="H15">
            <v>0.13916524204520889</v>
          </cell>
          <cell r="I15">
            <v>0.13916524204520889</v>
          </cell>
          <cell r="J15">
            <v>0</v>
          </cell>
          <cell r="L15">
            <v>1.5</v>
          </cell>
          <cell r="M15">
            <v>9.1600000000000001E-2</v>
          </cell>
          <cell r="N15">
            <v>0.1</v>
          </cell>
          <cell r="O15">
            <v>0.13739999999999999</v>
          </cell>
          <cell r="P15">
            <v>0.15000000000000002</v>
          </cell>
          <cell r="Q15">
            <v>0.13740000000000002</v>
          </cell>
          <cell r="R15">
            <v>0.33191666666666658</v>
          </cell>
          <cell r="S15">
            <v>9.9617975111006313E-2</v>
          </cell>
          <cell r="T15">
            <v>0.33191666666666658</v>
          </cell>
          <cell r="V15">
            <v>0.75</v>
          </cell>
          <cell r="W15">
            <v>0.1</v>
          </cell>
          <cell r="X15">
            <v>0.1</v>
          </cell>
          <cell r="Y15">
            <v>4.4999999999999998E-2</v>
          </cell>
          <cell r="Z15">
            <v>0.14000000000000001</v>
          </cell>
          <cell r="AA15">
            <v>7.5000000000000011E-2</v>
          </cell>
          <cell r="AB15">
            <v>0.15000000000000002</v>
          </cell>
          <cell r="AC15">
            <v>0.22500000000000003</v>
          </cell>
          <cell r="AD15">
            <v>3.3750000000000002E-2</v>
          </cell>
          <cell r="AE15">
            <v>0.21000000000000002</v>
          </cell>
          <cell r="AF15">
            <v>0.24375000000000002</v>
          </cell>
          <cell r="AG15">
            <v>0.49185000000000001</v>
          </cell>
          <cell r="AH15">
            <v>0.15</v>
          </cell>
          <cell r="AI15">
            <v>0.49184999999999995</v>
          </cell>
        </row>
        <row r="16">
          <cell r="B16" t="str">
            <v>High End - NR</v>
          </cell>
          <cell r="C16" t="str">
            <v>NR</v>
          </cell>
          <cell r="D16" t="str">
            <v>PRE2002</v>
          </cell>
          <cell r="F16">
            <v>0.90639770972193023</v>
          </cell>
          <cell r="G16">
            <v>0</v>
          </cell>
          <cell r="H16">
            <v>9.3602290278069752E-2</v>
          </cell>
          <cell r="I16">
            <v>5.4602290278069752E-2</v>
          </cell>
          <cell r="J16">
            <v>3.9E-2</v>
          </cell>
          <cell r="L16">
            <v>3</v>
          </cell>
          <cell r="M16">
            <v>9.1600000000000001E-2</v>
          </cell>
          <cell r="N16">
            <v>0.1</v>
          </cell>
          <cell r="O16">
            <v>0.27479999999999999</v>
          </cell>
          <cell r="P16">
            <v>0.30000000000000004</v>
          </cell>
          <cell r="Q16">
            <v>0.27479999999999999</v>
          </cell>
          <cell r="R16">
            <v>0.33191666666666658</v>
          </cell>
          <cell r="S16">
            <v>9.9617975111006313E-2</v>
          </cell>
          <cell r="T16">
            <v>0.33191666666666658</v>
          </cell>
          <cell r="V16">
            <v>0.75</v>
          </cell>
          <cell r="W16">
            <v>0.1</v>
          </cell>
          <cell r="X16">
            <v>0.1</v>
          </cell>
          <cell r="Y16">
            <v>4.4999999999999998E-2</v>
          </cell>
          <cell r="Z16">
            <v>0.14000000000000001</v>
          </cell>
          <cell r="AA16">
            <v>7.5000000000000011E-2</v>
          </cell>
          <cell r="AB16">
            <v>0.30000000000000004</v>
          </cell>
          <cell r="AC16">
            <v>0.37500000000000006</v>
          </cell>
          <cell r="AD16">
            <v>3.3750000000000002E-2</v>
          </cell>
          <cell r="AE16">
            <v>0.42000000000000004</v>
          </cell>
          <cell r="AF16">
            <v>0.45375000000000004</v>
          </cell>
          <cell r="AG16">
            <v>0.49185000000000001</v>
          </cell>
          <cell r="AH16">
            <v>0.15</v>
          </cell>
          <cell r="AI16">
            <v>0.34941598518697131</v>
          </cell>
        </row>
        <row r="17">
          <cell r="B17" t="str">
            <v>Anchor - NR</v>
          </cell>
          <cell r="C17" t="str">
            <v>NR</v>
          </cell>
          <cell r="D17" t="str">
            <v>PRE2002</v>
          </cell>
          <cell r="F17">
            <v>0.31190078725270642</v>
          </cell>
          <cell r="G17">
            <v>0.40000000000000008</v>
          </cell>
          <cell r="H17">
            <v>0.28809921274729344</v>
          </cell>
          <cell r="I17">
            <v>0.2</v>
          </cell>
          <cell r="J17">
            <v>0.09</v>
          </cell>
          <cell r="L17">
            <v>3</v>
          </cell>
          <cell r="M17">
            <v>9.1600000000000001E-2</v>
          </cell>
          <cell r="N17">
            <v>0.1</v>
          </cell>
          <cell r="O17">
            <v>0.27479999999999999</v>
          </cell>
          <cell r="P17">
            <v>0.30000000000000004</v>
          </cell>
          <cell r="Q17">
            <v>0.28895927637740043</v>
          </cell>
          <cell r="R17">
            <v>0.33191666666666658</v>
          </cell>
          <cell r="S17">
            <v>9.9617975111006313E-2</v>
          </cell>
          <cell r="T17">
            <v>0.20139359619662353</v>
          </cell>
          <cell r="V17">
            <v>1</v>
          </cell>
          <cell r="W17">
            <v>0.1</v>
          </cell>
          <cell r="X17">
            <v>0.1</v>
          </cell>
          <cell r="Y17">
            <v>4.4999999999999998E-2</v>
          </cell>
          <cell r="Z17">
            <v>0.14000000000000001</v>
          </cell>
          <cell r="AA17">
            <v>0.1</v>
          </cell>
          <cell r="AB17">
            <v>0.30000000000000004</v>
          </cell>
          <cell r="AC17">
            <v>0.4</v>
          </cell>
          <cell r="AD17">
            <v>4.4999999999999998E-2</v>
          </cell>
          <cell r="AE17">
            <v>0.42000000000000004</v>
          </cell>
          <cell r="AF17">
            <v>0.46500000000000002</v>
          </cell>
          <cell r="AG17">
            <v>0.49185000000000001</v>
          </cell>
          <cell r="AH17">
            <v>0.15</v>
          </cell>
          <cell r="AI17">
            <v>0.38575862068965516</v>
          </cell>
        </row>
        <row r="18">
          <cell r="B18" t="str">
            <v>K-12 - NR</v>
          </cell>
          <cell r="C18" t="str">
            <v>NR</v>
          </cell>
          <cell r="D18" t="str">
            <v>PRE2002</v>
          </cell>
          <cell r="E18">
            <v>6.4999999999999997E-3</v>
          </cell>
          <cell r="F18">
            <v>0.73517243796825194</v>
          </cell>
          <cell r="G18">
            <v>0.15000000000000002</v>
          </cell>
          <cell r="H18">
            <v>0.10832756203174809</v>
          </cell>
          <cell r="I18">
            <v>7.0000000000000007E-2</v>
          </cell>
          <cell r="J18">
            <v>0.04</v>
          </cell>
          <cell r="L18">
            <v>1</v>
          </cell>
          <cell r="M18">
            <v>9.1600000000000001E-2</v>
          </cell>
          <cell r="N18">
            <v>0.1</v>
          </cell>
          <cell r="O18">
            <v>9.1600000000000001E-2</v>
          </cell>
          <cell r="P18">
            <v>0.1</v>
          </cell>
          <cell r="Q18">
            <v>9.3023451460928996E-2</v>
          </cell>
          <cell r="R18">
            <v>0.33191666666666658</v>
          </cell>
          <cell r="S18">
            <v>9.9617975111006313E-2</v>
          </cell>
          <cell r="T18">
            <v>0.292551677158714</v>
          </cell>
          <cell r="V18">
            <v>1.2</v>
          </cell>
          <cell r="W18">
            <v>0.1</v>
          </cell>
          <cell r="X18">
            <v>0.1</v>
          </cell>
          <cell r="Y18">
            <v>4.4999999999999998E-2</v>
          </cell>
          <cell r="Z18">
            <v>0.14000000000000001</v>
          </cell>
          <cell r="AA18">
            <v>0.12</v>
          </cell>
          <cell r="AB18">
            <v>0.1</v>
          </cell>
          <cell r="AC18">
            <v>0.22</v>
          </cell>
          <cell r="AD18">
            <v>5.3999999999999999E-2</v>
          </cell>
          <cell r="AE18">
            <v>0.14000000000000001</v>
          </cell>
          <cell r="AF18">
            <v>0.19400000000000001</v>
          </cell>
          <cell r="AG18">
            <v>0.49185000000000001</v>
          </cell>
          <cell r="AH18">
            <v>0.15</v>
          </cell>
          <cell r="AI18">
            <v>0.36754090909090903</v>
          </cell>
        </row>
        <row r="19">
          <cell r="B19" t="str">
            <v>University - NR</v>
          </cell>
          <cell r="C19" t="str">
            <v>NR</v>
          </cell>
          <cell r="D19" t="str">
            <v>PRE2002</v>
          </cell>
          <cell r="E19">
            <v>1.2999999999999999E-3</v>
          </cell>
          <cell r="F19">
            <v>0.30565786106451454</v>
          </cell>
          <cell r="G19">
            <v>0.6</v>
          </cell>
          <cell r="H19">
            <v>9.3042138935485519E-2</v>
          </cell>
          <cell r="I19">
            <v>0.06</v>
          </cell>
          <cell r="J19">
            <v>0.03</v>
          </cell>
          <cell r="L19">
            <v>2</v>
          </cell>
          <cell r="M19">
            <v>9.1600000000000001E-2</v>
          </cell>
          <cell r="N19">
            <v>0.1</v>
          </cell>
          <cell r="O19">
            <v>0.1832</v>
          </cell>
          <cell r="P19">
            <v>0.2</v>
          </cell>
          <cell r="Q19">
            <v>0.19433003092376619</v>
          </cell>
          <cell r="R19">
            <v>0.33191666666666658</v>
          </cell>
          <cell r="S19">
            <v>9.9617975111006313E-2</v>
          </cell>
          <cell r="T19">
            <v>0.17801835591875437</v>
          </cell>
          <cell r="V19">
            <v>1.7</v>
          </cell>
          <cell r="W19">
            <v>0.1</v>
          </cell>
          <cell r="X19">
            <v>0.1</v>
          </cell>
          <cell r="Y19">
            <v>4.4999999999999998E-2</v>
          </cell>
          <cell r="Z19">
            <v>0.14000000000000001</v>
          </cell>
          <cell r="AA19">
            <v>0.17</v>
          </cell>
          <cell r="AB19">
            <v>0.2</v>
          </cell>
          <cell r="AC19">
            <v>0.37</v>
          </cell>
          <cell r="AD19">
            <v>7.6499999999999999E-2</v>
          </cell>
          <cell r="AE19">
            <v>0.28000000000000003</v>
          </cell>
          <cell r="AF19">
            <v>0.35650000000000004</v>
          </cell>
          <cell r="AG19">
            <v>0.49185000000000001</v>
          </cell>
          <cell r="AH19">
            <v>0.15</v>
          </cell>
          <cell r="AI19">
            <v>0.37790000000000001</v>
          </cell>
        </row>
        <row r="20">
          <cell r="B20" t="str">
            <v>Warehouse - NR</v>
          </cell>
          <cell r="C20" t="str">
            <v>NR</v>
          </cell>
          <cell r="D20" t="str">
            <v>PRE2002</v>
          </cell>
          <cell r="F20">
            <v>0.9187333830280412</v>
          </cell>
          <cell r="G20">
            <v>0</v>
          </cell>
          <cell r="H20">
            <v>8.1266616971958833E-2</v>
          </cell>
          <cell r="I20">
            <v>8.1266616971958833E-2</v>
          </cell>
          <cell r="J20">
            <v>0</v>
          </cell>
          <cell r="L20">
            <v>0.3</v>
          </cell>
          <cell r="M20">
            <v>9.1600000000000001E-2</v>
          </cell>
          <cell r="N20">
            <v>0.1</v>
          </cell>
          <cell r="O20">
            <v>2.7480000000000001E-2</v>
          </cell>
          <cell r="P20">
            <v>0.03</v>
          </cell>
          <cell r="Q20">
            <v>2.7480000000000001E-2</v>
          </cell>
          <cell r="R20">
            <v>0.33191666666666658</v>
          </cell>
          <cell r="S20">
            <v>9.9617975111006313E-2</v>
          </cell>
          <cell r="T20">
            <v>0.33191666666666658</v>
          </cell>
          <cell r="V20">
            <v>0.5</v>
          </cell>
          <cell r="W20">
            <v>0.1</v>
          </cell>
          <cell r="X20">
            <v>0.1</v>
          </cell>
          <cell r="Y20">
            <v>4.4999999999999998E-2</v>
          </cell>
          <cell r="Z20">
            <v>0.14000000000000001</v>
          </cell>
          <cell r="AA20">
            <v>0.05</v>
          </cell>
          <cell r="AB20">
            <v>0.03</v>
          </cell>
          <cell r="AC20">
            <v>0.08</v>
          </cell>
          <cell r="AD20">
            <v>2.2499999999999999E-2</v>
          </cell>
          <cell r="AE20">
            <v>4.2000000000000003E-2</v>
          </cell>
          <cell r="AF20">
            <v>6.4500000000000002E-2</v>
          </cell>
          <cell r="AG20">
            <v>0.49185000000000001</v>
          </cell>
          <cell r="AH20">
            <v>0.15</v>
          </cell>
          <cell r="AI20">
            <v>0.49185000000000006</v>
          </cell>
        </row>
        <row r="21">
          <cell r="B21" t="str">
            <v>Supermarket - NR</v>
          </cell>
          <cell r="C21" t="str">
            <v>NR</v>
          </cell>
          <cell r="D21" t="str">
            <v>PRE2002</v>
          </cell>
          <cell r="E21">
            <v>2.9399999999999999E-2</v>
          </cell>
          <cell r="F21">
            <v>0.79479315340092005</v>
          </cell>
          <cell r="G21">
            <v>0</v>
          </cell>
          <cell r="H21">
            <v>0.17580684659907997</v>
          </cell>
          <cell r="I21">
            <v>0.17580684659907997</v>
          </cell>
          <cell r="J21">
            <v>0</v>
          </cell>
          <cell r="L21">
            <v>3</v>
          </cell>
          <cell r="M21">
            <v>9.1600000000000001E-2</v>
          </cell>
          <cell r="N21">
            <v>0.1</v>
          </cell>
          <cell r="O21">
            <v>0.27479999999999999</v>
          </cell>
          <cell r="P21">
            <v>0.30000000000000004</v>
          </cell>
          <cell r="Q21">
            <v>0.27479999999999999</v>
          </cell>
          <cell r="R21">
            <v>0.33191666666666658</v>
          </cell>
          <cell r="S21">
            <v>9.9617975111006313E-2</v>
          </cell>
          <cell r="T21">
            <v>0.33191666666666658</v>
          </cell>
          <cell r="V21">
            <v>2.25</v>
          </cell>
          <cell r="W21">
            <v>0.1</v>
          </cell>
          <cell r="X21">
            <v>0.1</v>
          </cell>
          <cell r="Y21">
            <v>4.4999999999999998E-2</v>
          </cell>
          <cell r="Z21">
            <v>0.14000000000000001</v>
          </cell>
          <cell r="AA21">
            <v>0.22500000000000001</v>
          </cell>
          <cell r="AB21">
            <v>0.30000000000000004</v>
          </cell>
          <cell r="AC21">
            <v>0.52500000000000002</v>
          </cell>
          <cell r="AD21">
            <v>0.10124999999999999</v>
          </cell>
          <cell r="AE21">
            <v>0.42000000000000004</v>
          </cell>
          <cell r="AF21">
            <v>0.52124999999999999</v>
          </cell>
          <cell r="AG21">
            <v>0.49185000000000001</v>
          </cell>
          <cell r="AH21">
            <v>0.15</v>
          </cell>
          <cell r="AI21">
            <v>0.49185000000000001</v>
          </cell>
        </row>
        <row r="22">
          <cell r="B22" t="str">
            <v>MIniMart - NR</v>
          </cell>
          <cell r="C22" t="str">
            <v>NR</v>
          </cell>
          <cell r="D22" t="str">
            <v>PRE2002</v>
          </cell>
          <cell r="E22">
            <v>2.9399999999999999E-2</v>
          </cell>
          <cell r="F22">
            <v>0.91467785342623709</v>
          </cell>
          <cell r="G22">
            <v>0</v>
          </cell>
          <cell r="H22">
            <v>5.5922146573762974E-2</v>
          </cell>
          <cell r="I22">
            <v>5.5922146573762974E-2</v>
          </cell>
          <cell r="J22">
            <v>0</v>
          </cell>
          <cell r="L22">
            <v>3</v>
          </cell>
          <cell r="M22">
            <v>9.1600000000000001E-2</v>
          </cell>
          <cell r="N22">
            <v>0.1</v>
          </cell>
          <cell r="O22">
            <v>0.27479999999999999</v>
          </cell>
          <cell r="P22">
            <v>0.30000000000000004</v>
          </cell>
          <cell r="Q22">
            <v>0.27480000000000004</v>
          </cell>
          <cell r="R22">
            <v>0.33191666666666658</v>
          </cell>
          <cell r="S22">
            <v>9.9617975111006313E-2</v>
          </cell>
          <cell r="T22">
            <v>0.33191666666666658</v>
          </cell>
          <cell r="V22">
            <v>2.25</v>
          </cell>
          <cell r="W22">
            <v>0.1</v>
          </cell>
          <cell r="X22">
            <v>0.1</v>
          </cell>
          <cell r="Y22">
            <v>4.4999999999999998E-2</v>
          </cell>
          <cell r="Z22">
            <v>0.14000000000000001</v>
          </cell>
          <cell r="AA22">
            <v>0.22500000000000001</v>
          </cell>
          <cell r="AB22">
            <v>0.30000000000000004</v>
          </cell>
          <cell r="AC22">
            <v>0.52500000000000002</v>
          </cell>
          <cell r="AD22">
            <v>0.10124999999999999</v>
          </cell>
          <cell r="AE22">
            <v>0.42000000000000004</v>
          </cell>
          <cell r="AF22">
            <v>0.52124999999999999</v>
          </cell>
          <cell r="AG22">
            <v>0.49185000000000001</v>
          </cell>
          <cell r="AH22">
            <v>0.15</v>
          </cell>
          <cell r="AI22">
            <v>0.49185000000000001</v>
          </cell>
        </row>
        <row r="23">
          <cell r="B23" t="str">
            <v>Restaurant - NR</v>
          </cell>
          <cell r="C23" t="str">
            <v>NR</v>
          </cell>
          <cell r="D23" t="str">
            <v>PRE2002</v>
          </cell>
          <cell r="E23">
            <v>5.6000000000000001E-2</v>
          </cell>
          <cell r="F23">
            <v>0.8390408816648478</v>
          </cell>
          <cell r="G23">
            <v>0</v>
          </cell>
          <cell r="H23">
            <v>0.10495911833515216</v>
          </cell>
          <cell r="I23">
            <v>0.10495911833515216</v>
          </cell>
          <cell r="J23">
            <v>0</v>
          </cell>
          <cell r="L23">
            <v>6</v>
          </cell>
          <cell r="M23">
            <v>9.1600000000000001E-2</v>
          </cell>
          <cell r="N23">
            <v>0.1</v>
          </cell>
          <cell r="O23">
            <v>0.54959999999999998</v>
          </cell>
          <cell r="P23">
            <v>0.60000000000000009</v>
          </cell>
          <cell r="Q23">
            <v>0.54959999999999998</v>
          </cell>
          <cell r="R23">
            <v>0.33191666666666658</v>
          </cell>
          <cell r="S23">
            <v>9.9617975111006313E-2</v>
          </cell>
          <cell r="T23">
            <v>0.33191666666666658</v>
          </cell>
          <cell r="V23">
            <v>2.5</v>
          </cell>
          <cell r="W23">
            <v>0.1</v>
          </cell>
          <cell r="X23">
            <v>0.1</v>
          </cell>
          <cell r="Y23">
            <v>4.4999999999999998E-2</v>
          </cell>
          <cell r="Z23">
            <v>0.14000000000000001</v>
          </cell>
          <cell r="AA23">
            <v>0.25</v>
          </cell>
          <cell r="AB23">
            <v>0.60000000000000009</v>
          </cell>
          <cell r="AC23">
            <v>0.85000000000000009</v>
          </cell>
          <cell r="AD23">
            <v>0.11249999999999999</v>
          </cell>
          <cell r="AE23">
            <v>0.84000000000000008</v>
          </cell>
          <cell r="AF23">
            <v>0.95250000000000012</v>
          </cell>
          <cell r="AG23">
            <v>0.49185000000000001</v>
          </cell>
          <cell r="AH23">
            <v>0.15</v>
          </cell>
          <cell r="AI23">
            <v>0.49184999999999995</v>
          </cell>
        </row>
        <row r="24">
          <cell r="B24" t="str">
            <v>Lodging - NR</v>
          </cell>
          <cell r="C24" t="str">
            <v>NR</v>
          </cell>
          <cell r="D24" t="str">
            <v>PRE2002</v>
          </cell>
          <cell r="E24">
            <v>3.2000000000000002E-3</v>
          </cell>
          <cell r="F24">
            <v>0.4536715330582729</v>
          </cell>
          <cell r="G24">
            <v>0.3</v>
          </cell>
          <cell r="H24">
            <v>0.24312846694172721</v>
          </cell>
          <cell r="I24">
            <v>5.0128466941727207E-2</v>
          </cell>
          <cell r="J24">
            <v>0.193</v>
          </cell>
          <cell r="L24">
            <v>1.3</v>
          </cell>
          <cell r="M24">
            <v>9.1600000000000001E-2</v>
          </cell>
          <cell r="N24">
            <v>0.1</v>
          </cell>
          <cell r="O24">
            <v>0.11908000000000001</v>
          </cell>
          <cell r="P24">
            <v>0.13</v>
          </cell>
          <cell r="Q24">
            <v>0.12342672115942413</v>
          </cell>
          <cell r="R24">
            <v>0.33191666666666658</v>
          </cell>
          <cell r="S24">
            <v>9.9617975111006313E-2</v>
          </cell>
          <cell r="T24">
            <v>0.23944985000993374</v>
          </cell>
          <cell r="V24">
            <v>1.1000000000000001</v>
          </cell>
          <cell r="W24">
            <v>0.1</v>
          </cell>
          <cell r="X24">
            <v>0.1</v>
          </cell>
          <cell r="Y24">
            <v>4.4999999999999998E-2</v>
          </cell>
          <cell r="Z24">
            <v>0.14000000000000001</v>
          </cell>
          <cell r="AA24">
            <v>0.11000000000000001</v>
          </cell>
          <cell r="AB24">
            <v>0.13</v>
          </cell>
          <cell r="AC24">
            <v>0.24000000000000002</v>
          </cell>
          <cell r="AD24">
            <v>4.9500000000000002E-2</v>
          </cell>
          <cell r="AE24">
            <v>0.18200000000000002</v>
          </cell>
          <cell r="AF24">
            <v>0.23150000000000004</v>
          </cell>
          <cell r="AG24">
            <v>0.49185000000000001</v>
          </cell>
          <cell r="AH24">
            <v>0.15</v>
          </cell>
          <cell r="AI24">
            <v>0.22048296992773242</v>
          </cell>
        </row>
        <row r="25">
          <cell r="B25" t="str">
            <v>Hospital - NR</v>
          </cell>
          <cell r="C25" t="str">
            <v>NR</v>
          </cell>
          <cell r="D25" t="str">
            <v>PRE2002</v>
          </cell>
          <cell r="F25">
            <v>0.33999999999999986</v>
          </cell>
          <cell r="G25">
            <v>0.65000000000000013</v>
          </cell>
          <cell r="H25">
            <v>1.0000000000000002E-2</v>
          </cell>
          <cell r="I25">
            <v>1.0000000000000002E-2</v>
          </cell>
          <cell r="J25">
            <v>0</v>
          </cell>
          <cell r="L25">
            <v>5</v>
          </cell>
          <cell r="M25">
            <v>9.1600000000000001E-2</v>
          </cell>
          <cell r="N25">
            <v>0.1</v>
          </cell>
          <cell r="O25">
            <v>0.45800000000000002</v>
          </cell>
          <cell r="P25">
            <v>0.5</v>
          </cell>
          <cell r="Q25">
            <v>0.48557575757575761</v>
          </cell>
          <cell r="R25">
            <v>0.33191666666666658</v>
          </cell>
          <cell r="S25">
            <v>9.9617975111006313E-2</v>
          </cell>
          <cell r="T25">
            <v>0.17939732372608153</v>
          </cell>
          <cell r="V25">
            <v>4</v>
          </cell>
          <cell r="W25">
            <v>0.1</v>
          </cell>
          <cell r="X25">
            <v>0.1</v>
          </cell>
          <cell r="Y25">
            <v>4.4999999999999998E-2</v>
          </cell>
          <cell r="Z25">
            <v>0.14000000000000001</v>
          </cell>
          <cell r="AA25">
            <v>0.4</v>
          </cell>
          <cell r="AB25">
            <v>0.5</v>
          </cell>
          <cell r="AC25">
            <v>0.9</v>
          </cell>
          <cell r="AD25">
            <v>0.18</v>
          </cell>
          <cell r="AE25">
            <v>0.70000000000000007</v>
          </cell>
          <cell r="AF25">
            <v>0.88000000000000012</v>
          </cell>
          <cell r="AG25">
            <v>0.49185000000000001</v>
          </cell>
          <cell r="AH25">
            <v>0.15</v>
          </cell>
          <cell r="AI25">
            <v>0.49185000000000001</v>
          </cell>
        </row>
        <row r="26">
          <cell r="B26" t="str">
            <v>OtherHealth - NR</v>
          </cell>
          <cell r="C26" t="str">
            <v>NR</v>
          </cell>
          <cell r="D26" t="str">
            <v>PRE2002</v>
          </cell>
          <cell r="F26">
            <v>0.72414649496056116</v>
          </cell>
          <cell r="G26">
            <v>0.2</v>
          </cell>
          <cell r="H26">
            <v>7.5853505039438912E-2</v>
          </cell>
          <cell r="I26">
            <v>3.4053505039438915E-2</v>
          </cell>
          <cell r="J26">
            <v>4.1799999999999997E-2</v>
          </cell>
          <cell r="L26">
            <v>3</v>
          </cell>
          <cell r="M26">
            <v>9.1600000000000001E-2</v>
          </cell>
          <cell r="N26">
            <v>0.1</v>
          </cell>
          <cell r="O26">
            <v>0.27479999999999999</v>
          </cell>
          <cell r="P26">
            <v>0.30000000000000004</v>
          </cell>
          <cell r="Q26">
            <v>0.28025368080437846</v>
          </cell>
          <cell r="R26">
            <v>0.33191666666666658</v>
          </cell>
          <cell r="S26">
            <v>9.9617975111006313E-2</v>
          </cell>
          <cell r="T26">
            <v>0.28164353511828072</v>
          </cell>
          <cell r="V26">
            <v>2</v>
          </cell>
          <cell r="W26">
            <v>0.1</v>
          </cell>
          <cell r="X26">
            <v>0.1</v>
          </cell>
          <cell r="Y26">
            <v>4.4999999999999998E-2</v>
          </cell>
          <cell r="Z26">
            <v>0.14000000000000001</v>
          </cell>
          <cell r="AA26">
            <v>0.2</v>
          </cell>
          <cell r="AB26">
            <v>0.30000000000000004</v>
          </cell>
          <cell r="AC26">
            <v>0.5</v>
          </cell>
          <cell r="AD26">
            <v>0.09</v>
          </cell>
          <cell r="AE26">
            <v>0.42000000000000004</v>
          </cell>
          <cell r="AF26">
            <v>0.51</v>
          </cell>
          <cell r="AG26">
            <v>0.49185000000000001</v>
          </cell>
          <cell r="AH26">
            <v>0.15</v>
          </cell>
          <cell r="AI26">
            <v>0.30346938406708468</v>
          </cell>
        </row>
        <row r="27">
          <cell r="B27" t="str">
            <v>Assembly - NR</v>
          </cell>
          <cell r="C27" t="str">
            <v>NR</v>
          </cell>
          <cell r="D27" t="str">
            <v>PRE2002</v>
          </cell>
          <cell r="E27">
            <v>0.01</v>
          </cell>
          <cell r="F27">
            <v>0.65919182954839484</v>
          </cell>
          <cell r="G27">
            <v>0.2</v>
          </cell>
          <cell r="H27">
            <v>0.1308081704516052</v>
          </cell>
          <cell r="I27">
            <v>8.0808170451605196E-2</v>
          </cell>
          <cell r="J27">
            <v>0.05</v>
          </cell>
          <cell r="L27">
            <v>2.5</v>
          </cell>
          <cell r="M27">
            <v>9.1600000000000001E-2</v>
          </cell>
          <cell r="N27">
            <v>0.1</v>
          </cell>
          <cell r="O27">
            <v>0.22900000000000001</v>
          </cell>
          <cell r="P27">
            <v>0.25</v>
          </cell>
          <cell r="Q27">
            <v>0.23388831464122231</v>
          </cell>
          <cell r="R27">
            <v>0.33191666666666658</v>
          </cell>
          <cell r="S27">
            <v>9.9617975111006313E-2</v>
          </cell>
          <cell r="T27">
            <v>0.27784290023484182</v>
          </cell>
          <cell r="V27">
            <v>2.5</v>
          </cell>
          <cell r="W27">
            <v>0.1</v>
          </cell>
          <cell r="X27">
            <v>0.1</v>
          </cell>
          <cell r="Y27">
            <v>4.4999999999999998E-2</v>
          </cell>
          <cell r="Z27">
            <v>0.14000000000000001</v>
          </cell>
          <cell r="AA27">
            <v>0.25</v>
          </cell>
          <cell r="AB27">
            <v>0.25</v>
          </cell>
          <cell r="AC27">
            <v>0.5</v>
          </cell>
          <cell r="AD27">
            <v>0.11249999999999999</v>
          </cell>
          <cell r="AE27">
            <v>0.35000000000000003</v>
          </cell>
          <cell r="AF27">
            <v>0.46250000000000002</v>
          </cell>
          <cell r="AG27">
            <v>0.49185000000000001</v>
          </cell>
          <cell r="AH27">
            <v>0.15</v>
          </cell>
          <cell r="AI27">
            <v>0.36118155672929714</v>
          </cell>
        </row>
        <row r="28">
          <cell r="B28" t="str">
            <v>Other - NR</v>
          </cell>
          <cell r="C28" t="str">
            <v>NR</v>
          </cell>
          <cell r="D28" t="str">
            <v>PRE2002</v>
          </cell>
          <cell r="E28">
            <v>0.03</v>
          </cell>
          <cell r="F28">
            <v>0.78978598871211048</v>
          </cell>
          <cell r="G28">
            <v>4.9999999999999996E-2</v>
          </cell>
          <cell r="H28">
            <v>0.13021401128788948</v>
          </cell>
          <cell r="I28">
            <v>0.12381401128788948</v>
          </cell>
          <cell r="J28">
            <v>6.4000000000000003E-3</v>
          </cell>
          <cell r="L28">
            <v>1.6</v>
          </cell>
          <cell r="M28">
            <v>9.1600000000000001E-2</v>
          </cell>
          <cell r="N28">
            <v>0.1</v>
          </cell>
          <cell r="O28">
            <v>0.14656</v>
          </cell>
          <cell r="P28">
            <v>0.16000000000000003</v>
          </cell>
          <cell r="Q28">
            <v>0.14736020387221582</v>
          </cell>
          <cell r="R28">
            <v>0.33191666666666658</v>
          </cell>
          <cell r="S28">
            <v>9.9617975111006313E-2</v>
          </cell>
          <cell r="T28">
            <v>0.31808583984423339</v>
          </cell>
          <cell r="V28">
            <v>2.25</v>
          </cell>
          <cell r="W28">
            <v>0.1</v>
          </cell>
          <cell r="X28">
            <v>0.1</v>
          </cell>
          <cell r="Y28">
            <v>4.4999999999999998E-2</v>
          </cell>
          <cell r="Z28">
            <v>0.14000000000000001</v>
          </cell>
          <cell r="AA28">
            <v>0.22500000000000001</v>
          </cell>
          <cell r="AB28">
            <v>0.16000000000000003</v>
          </cell>
          <cell r="AC28">
            <v>0.38500000000000001</v>
          </cell>
          <cell r="AD28">
            <v>0.10124999999999999</v>
          </cell>
          <cell r="AE28">
            <v>0.22400000000000003</v>
          </cell>
          <cell r="AF28">
            <v>0.32525000000000004</v>
          </cell>
          <cell r="AG28">
            <v>0.49185000000000001</v>
          </cell>
          <cell r="AH28">
            <v>0.15</v>
          </cell>
          <cell r="AI28">
            <v>0.47504812147432496</v>
          </cell>
        </row>
        <row r="29">
          <cell r="B29" t="str">
            <v>Large Off - New</v>
          </cell>
          <cell r="C29" t="str">
            <v>New</v>
          </cell>
          <cell r="D29" t="str">
            <v>POST2006</v>
          </cell>
          <cell r="F29">
            <v>0.2</v>
          </cell>
          <cell r="G29">
            <v>0.6</v>
          </cell>
          <cell r="H29">
            <v>0.2</v>
          </cell>
          <cell r="I29">
            <v>0</v>
          </cell>
          <cell r="J29">
            <v>0.2</v>
          </cell>
          <cell r="L29">
            <v>3</v>
          </cell>
          <cell r="M29">
            <v>9.1600000000000001E-2</v>
          </cell>
          <cell r="N29">
            <v>0.1</v>
          </cell>
          <cell r="O29">
            <v>0.27479999999999999</v>
          </cell>
          <cell r="P29">
            <v>0.30000000000000004</v>
          </cell>
          <cell r="Q29">
            <v>0.29369999999999996</v>
          </cell>
          <cell r="R29">
            <v>0.33191666666666658</v>
          </cell>
          <cell r="S29">
            <v>9.9617975111006313E-2</v>
          </cell>
          <cell r="T29">
            <v>0.15769264799992139</v>
          </cell>
          <cell r="V29">
            <v>1</v>
          </cell>
          <cell r="W29">
            <v>0.1</v>
          </cell>
          <cell r="X29">
            <v>0.1</v>
          </cell>
          <cell r="Y29">
            <v>4.4999999999999998E-2</v>
          </cell>
          <cell r="Z29">
            <v>0.14000000000000001</v>
          </cell>
          <cell r="AA29">
            <v>0.1</v>
          </cell>
          <cell r="AB29">
            <v>0.30000000000000004</v>
          </cell>
          <cell r="AC29">
            <v>0.4</v>
          </cell>
          <cell r="AD29">
            <v>4.4999999999999998E-2</v>
          </cell>
          <cell r="AE29">
            <v>0.42000000000000004</v>
          </cell>
          <cell r="AF29">
            <v>0.46500000000000002</v>
          </cell>
          <cell r="AG29">
            <v>0.49185000000000001</v>
          </cell>
          <cell r="AH29">
            <v>0.15</v>
          </cell>
          <cell r="AI29">
            <v>0.15</v>
          </cell>
        </row>
        <row r="30">
          <cell r="B30" t="str">
            <v>Medium Off - New</v>
          </cell>
          <cell r="C30" t="str">
            <v>New</v>
          </cell>
          <cell r="D30" t="str">
            <v>POST2006</v>
          </cell>
          <cell r="F30">
            <v>0.83000000000000007</v>
          </cell>
          <cell r="G30">
            <v>0.1</v>
          </cell>
          <cell r="H30">
            <v>7.0000000000000007E-2</v>
          </cell>
          <cell r="I30">
            <v>0.02</v>
          </cell>
          <cell r="J30">
            <v>0.05</v>
          </cell>
          <cell r="L30">
            <v>2</v>
          </cell>
          <cell r="M30">
            <v>9.1600000000000001E-2</v>
          </cell>
          <cell r="N30">
            <v>0.1</v>
          </cell>
          <cell r="O30">
            <v>0.1832</v>
          </cell>
          <cell r="P30">
            <v>0.2</v>
          </cell>
          <cell r="Q30">
            <v>0.18500645161290327</v>
          </cell>
          <cell r="R30">
            <v>0.33191666666666658</v>
          </cell>
          <cell r="S30">
            <v>9.9617975111006313E-2</v>
          </cell>
          <cell r="T30">
            <v>0.30693831273595046</v>
          </cell>
          <cell r="V30">
            <v>1.25</v>
          </cell>
          <cell r="W30">
            <v>0.1</v>
          </cell>
          <cell r="X30">
            <v>0.1</v>
          </cell>
          <cell r="Y30">
            <v>4.4999999999999998E-2</v>
          </cell>
          <cell r="Z30">
            <v>0.14000000000000001</v>
          </cell>
          <cell r="AA30">
            <v>0.125</v>
          </cell>
          <cell r="AB30">
            <v>0.2</v>
          </cell>
          <cell r="AC30">
            <v>0.32500000000000001</v>
          </cell>
          <cell r="AD30">
            <v>5.6249999999999994E-2</v>
          </cell>
          <cell r="AE30">
            <v>0.28000000000000003</v>
          </cell>
          <cell r="AF30">
            <v>0.33625000000000005</v>
          </cell>
          <cell r="AG30">
            <v>0.49185000000000001</v>
          </cell>
          <cell r="AH30">
            <v>0.15</v>
          </cell>
          <cell r="AI30">
            <v>0.24767142857142851</v>
          </cell>
        </row>
        <row r="31">
          <cell r="B31" t="str">
            <v>Small Off - New</v>
          </cell>
          <cell r="C31" t="str">
            <v>New</v>
          </cell>
          <cell r="D31" t="str">
            <v>POST2006</v>
          </cell>
          <cell r="F31">
            <v>0.92</v>
          </cell>
          <cell r="G31">
            <v>0</v>
          </cell>
          <cell r="H31">
            <v>0.08</v>
          </cell>
          <cell r="I31">
            <v>0.02</v>
          </cell>
          <cell r="J31">
            <v>0.06</v>
          </cell>
          <cell r="L31">
            <v>1.5</v>
          </cell>
          <cell r="M31">
            <v>9.1600000000000001E-2</v>
          </cell>
          <cell r="N31">
            <v>0.1</v>
          </cell>
          <cell r="O31">
            <v>0.13739999999999999</v>
          </cell>
          <cell r="P31">
            <v>0.15000000000000002</v>
          </cell>
          <cell r="Q31">
            <v>0.13739999999999999</v>
          </cell>
          <cell r="R31">
            <v>0.33191666666666658</v>
          </cell>
          <cell r="S31">
            <v>9.9617975111006313E-2</v>
          </cell>
          <cell r="T31">
            <v>0.33191666666666658</v>
          </cell>
          <cell r="V31">
            <v>1.25</v>
          </cell>
          <cell r="W31">
            <v>0.1</v>
          </cell>
          <cell r="X31">
            <v>0.1</v>
          </cell>
          <cell r="Y31">
            <v>4.4999999999999998E-2</v>
          </cell>
          <cell r="Z31">
            <v>0.14000000000000001</v>
          </cell>
          <cell r="AA31">
            <v>0.125</v>
          </cell>
          <cell r="AB31">
            <v>0.15000000000000002</v>
          </cell>
          <cell r="AC31">
            <v>0.27500000000000002</v>
          </cell>
          <cell r="AD31">
            <v>5.6249999999999994E-2</v>
          </cell>
          <cell r="AE31">
            <v>0.21000000000000002</v>
          </cell>
          <cell r="AF31">
            <v>0.26624999999999999</v>
          </cell>
          <cell r="AG31">
            <v>0.49185000000000001</v>
          </cell>
          <cell r="AH31">
            <v>0.15</v>
          </cell>
          <cell r="AI31">
            <v>0.23546249999999999</v>
          </cell>
        </row>
        <row r="32">
          <cell r="B32" t="str">
            <v>Big Box - New</v>
          </cell>
          <cell r="C32" t="str">
            <v>New</v>
          </cell>
          <cell r="D32" t="str">
            <v>POST2006</v>
          </cell>
          <cell r="E32">
            <v>3.9199999999999999E-2</v>
          </cell>
          <cell r="F32">
            <v>0.90579999999999994</v>
          </cell>
          <cell r="G32">
            <v>0.05</v>
          </cell>
          <cell r="H32">
            <v>5.0000000000000001E-3</v>
          </cell>
          <cell r="I32">
            <v>0.01</v>
          </cell>
          <cell r="J32">
            <v>0</v>
          </cell>
          <cell r="L32">
            <v>1.5</v>
          </cell>
          <cell r="M32">
            <v>9.1600000000000001E-2</v>
          </cell>
          <cell r="N32">
            <v>0.1</v>
          </cell>
          <cell r="O32">
            <v>0.13739999999999999</v>
          </cell>
          <cell r="P32">
            <v>0.15000000000000002</v>
          </cell>
          <cell r="Q32">
            <v>0.13805913370998119</v>
          </cell>
          <cell r="R32">
            <v>0.33191666666666658</v>
          </cell>
          <cell r="S32">
            <v>9.9617975111006313E-2</v>
          </cell>
          <cell r="T32">
            <v>0.31976461123897981</v>
          </cell>
          <cell r="V32">
            <v>1</v>
          </cell>
          <cell r="W32">
            <v>0.1</v>
          </cell>
          <cell r="X32">
            <v>0.1</v>
          </cell>
          <cell r="Y32">
            <v>4.4999999999999998E-2</v>
          </cell>
          <cell r="Z32">
            <v>0.14000000000000001</v>
          </cell>
          <cell r="AA32">
            <v>0.1</v>
          </cell>
          <cell r="AB32">
            <v>0.15000000000000002</v>
          </cell>
          <cell r="AC32">
            <v>0.25</v>
          </cell>
          <cell r="AD32">
            <v>4.4999999999999998E-2</v>
          </cell>
          <cell r="AE32">
            <v>0.21000000000000002</v>
          </cell>
          <cell r="AF32">
            <v>0.255</v>
          </cell>
          <cell r="AG32">
            <v>0.49185000000000001</v>
          </cell>
          <cell r="AH32">
            <v>0.15</v>
          </cell>
          <cell r="AI32">
            <v>0.49185000000000001</v>
          </cell>
        </row>
        <row r="33">
          <cell r="B33" t="str">
            <v>Small Box - New</v>
          </cell>
          <cell r="C33" t="str">
            <v>New</v>
          </cell>
          <cell r="D33" t="str">
            <v>POST2006</v>
          </cell>
          <cell r="F33">
            <v>0.99</v>
          </cell>
          <cell r="G33">
            <v>0</v>
          </cell>
          <cell r="H33">
            <v>0.01</v>
          </cell>
          <cell r="I33">
            <v>0.01</v>
          </cell>
          <cell r="J33">
            <v>0</v>
          </cell>
          <cell r="L33">
            <v>1.5</v>
          </cell>
          <cell r="M33">
            <v>9.1600000000000001E-2</v>
          </cell>
          <cell r="N33">
            <v>0.1</v>
          </cell>
          <cell r="O33">
            <v>0.13739999999999999</v>
          </cell>
          <cell r="P33">
            <v>0.15000000000000002</v>
          </cell>
          <cell r="Q33">
            <v>0.13740000000000002</v>
          </cell>
          <cell r="R33">
            <v>0.33191666666666658</v>
          </cell>
          <cell r="S33">
            <v>9.9617975111006313E-2</v>
          </cell>
          <cell r="T33">
            <v>0.33191666666666658</v>
          </cell>
          <cell r="V33">
            <v>0.75</v>
          </cell>
          <cell r="W33">
            <v>0.1</v>
          </cell>
          <cell r="X33">
            <v>0.1</v>
          </cell>
          <cell r="Y33">
            <v>4.4999999999999998E-2</v>
          </cell>
          <cell r="Z33">
            <v>0.14000000000000001</v>
          </cell>
          <cell r="AA33">
            <v>7.5000000000000011E-2</v>
          </cell>
          <cell r="AB33">
            <v>0.15000000000000002</v>
          </cell>
          <cell r="AC33">
            <v>0.22500000000000003</v>
          </cell>
          <cell r="AD33">
            <v>3.3750000000000002E-2</v>
          </cell>
          <cell r="AE33">
            <v>0.21000000000000002</v>
          </cell>
          <cell r="AF33">
            <v>0.24375000000000002</v>
          </cell>
          <cell r="AG33">
            <v>0.49185000000000001</v>
          </cell>
          <cell r="AH33">
            <v>0.15</v>
          </cell>
          <cell r="AI33">
            <v>0.49185000000000001</v>
          </cell>
        </row>
        <row r="34">
          <cell r="B34" t="str">
            <v>High End - New</v>
          </cell>
          <cell r="C34" t="str">
            <v>New</v>
          </cell>
          <cell r="D34" t="str">
            <v>POST2006</v>
          </cell>
          <cell r="F34">
            <v>0.99</v>
          </cell>
          <cell r="G34">
            <v>0</v>
          </cell>
          <cell r="H34">
            <v>0.01</v>
          </cell>
          <cell r="I34">
            <v>0.01</v>
          </cell>
          <cell r="J34">
            <v>0</v>
          </cell>
          <cell r="L34">
            <v>3</v>
          </cell>
          <cell r="M34">
            <v>9.1600000000000001E-2</v>
          </cell>
          <cell r="N34">
            <v>0.1</v>
          </cell>
          <cell r="O34">
            <v>0.27479999999999999</v>
          </cell>
          <cell r="P34">
            <v>0.30000000000000004</v>
          </cell>
          <cell r="Q34">
            <v>0.27480000000000004</v>
          </cell>
          <cell r="R34">
            <v>0.33191666666666658</v>
          </cell>
          <cell r="S34">
            <v>9.9617975111006313E-2</v>
          </cell>
          <cell r="T34">
            <v>0.33191666666666658</v>
          </cell>
          <cell r="V34">
            <v>0.75</v>
          </cell>
          <cell r="W34">
            <v>0.1</v>
          </cell>
          <cell r="X34">
            <v>0.1</v>
          </cell>
          <cell r="Y34">
            <v>4.4999999999999998E-2</v>
          </cell>
          <cell r="Z34">
            <v>0.14000000000000001</v>
          </cell>
          <cell r="AA34">
            <v>7.5000000000000011E-2</v>
          </cell>
          <cell r="AB34">
            <v>0.30000000000000004</v>
          </cell>
          <cell r="AC34">
            <v>0.37500000000000006</v>
          </cell>
          <cell r="AD34">
            <v>3.3750000000000002E-2</v>
          </cell>
          <cell r="AE34">
            <v>0.42000000000000004</v>
          </cell>
          <cell r="AF34">
            <v>0.45375000000000004</v>
          </cell>
          <cell r="AG34">
            <v>0.49185000000000001</v>
          </cell>
          <cell r="AH34">
            <v>0.15</v>
          </cell>
          <cell r="AI34">
            <v>0.49185000000000001</v>
          </cell>
        </row>
        <row r="35">
          <cell r="B35" t="str">
            <v>Anchor - New</v>
          </cell>
          <cell r="C35" t="str">
            <v>New</v>
          </cell>
          <cell r="D35" t="str">
            <v>POST2006</v>
          </cell>
          <cell r="F35">
            <v>0.44999999999999996</v>
          </cell>
          <cell r="G35">
            <v>0.4</v>
          </cell>
          <cell r="H35">
            <v>0.15</v>
          </cell>
          <cell r="I35">
            <v>0</v>
          </cell>
          <cell r="J35">
            <v>0.15</v>
          </cell>
          <cell r="L35">
            <v>3</v>
          </cell>
          <cell r="M35">
            <v>9.1600000000000001E-2</v>
          </cell>
          <cell r="N35">
            <v>0.1</v>
          </cell>
          <cell r="O35">
            <v>0.27479999999999999</v>
          </cell>
          <cell r="P35">
            <v>0.30000000000000004</v>
          </cell>
          <cell r="Q35">
            <v>0.2866588235294118</v>
          </cell>
          <cell r="R35">
            <v>0.33191666666666658</v>
          </cell>
          <cell r="S35">
            <v>9.9617975111006313E-2</v>
          </cell>
          <cell r="T35">
            <v>0.22259963534635585</v>
          </cell>
          <cell r="V35">
            <v>1</v>
          </cell>
          <cell r="W35">
            <v>0.1</v>
          </cell>
          <cell r="X35">
            <v>0.1</v>
          </cell>
          <cell r="Y35">
            <v>4.4999999999999998E-2</v>
          </cell>
          <cell r="Z35">
            <v>0.14000000000000001</v>
          </cell>
          <cell r="AA35">
            <v>0.1</v>
          </cell>
          <cell r="AB35">
            <v>0.30000000000000004</v>
          </cell>
          <cell r="AC35">
            <v>0.4</v>
          </cell>
          <cell r="AD35">
            <v>4.4999999999999998E-2</v>
          </cell>
          <cell r="AE35">
            <v>0.42000000000000004</v>
          </cell>
          <cell r="AF35">
            <v>0.46500000000000002</v>
          </cell>
          <cell r="AG35">
            <v>0.49185000000000001</v>
          </cell>
          <cell r="AH35">
            <v>0.15</v>
          </cell>
          <cell r="AI35">
            <v>0.15</v>
          </cell>
        </row>
        <row r="36">
          <cell r="B36" t="str">
            <v>K-12 - New</v>
          </cell>
          <cell r="C36" t="str">
            <v>New</v>
          </cell>
          <cell r="D36" t="str">
            <v>POST2006</v>
          </cell>
          <cell r="E36">
            <v>6.4999999999999997E-3</v>
          </cell>
          <cell r="F36">
            <v>0.45350000000000001</v>
          </cell>
          <cell r="G36">
            <v>0.4</v>
          </cell>
          <cell r="H36">
            <v>0.14000000000000001</v>
          </cell>
          <cell r="I36">
            <v>0.02</v>
          </cell>
          <cell r="J36">
            <v>0.12</v>
          </cell>
          <cell r="L36">
            <v>1</v>
          </cell>
          <cell r="M36">
            <v>9.1600000000000001E-2</v>
          </cell>
          <cell r="N36">
            <v>0.1</v>
          </cell>
          <cell r="O36">
            <v>9.1600000000000001E-2</v>
          </cell>
          <cell r="P36">
            <v>0.1</v>
          </cell>
          <cell r="Q36">
            <v>9.5536731107205647E-2</v>
          </cell>
          <cell r="R36">
            <v>0.33191666666666658</v>
          </cell>
          <cell r="S36">
            <v>9.9617975111006313E-2</v>
          </cell>
          <cell r="T36">
            <v>0.22304791842734131</v>
          </cell>
          <cell r="V36">
            <v>1.2</v>
          </cell>
          <cell r="W36">
            <v>0.1</v>
          </cell>
          <cell r="X36">
            <v>0.1</v>
          </cell>
          <cell r="Y36">
            <v>4.4999999999999998E-2</v>
          </cell>
          <cell r="Z36">
            <v>0.14000000000000001</v>
          </cell>
          <cell r="AA36">
            <v>0.12</v>
          </cell>
          <cell r="AB36">
            <v>0.1</v>
          </cell>
          <cell r="AC36">
            <v>0.22</v>
          </cell>
          <cell r="AD36">
            <v>5.3999999999999999E-2</v>
          </cell>
          <cell r="AE36">
            <v>0.14000000000000001</v>
          </cell>
          <cell r="AF36">
            <v>0.19400000000000001</v>
          </cell>
          <cell r="AG36">
            <v>0.49185000000000001</v>
          </cell>
          <cell r="AH36">
            <v>0.15</v>
          </cell>
          <cell r="AI36">
            <v>0.19883571428571431</v>
          </cell>
        </row>
        <row r="37">
          <cell r="B37" t="str">
            <v>University - New</v>
          </cell>
          <cell r="C37" t="str">
            <v>New</v>
          </cell>
          <cell r="D37" t="str">
            <v>POST2006</v>
          </cell>
          <cell r="E37">
            <v>1.2999999999999999E-3</v>
          </cell>
          <cell r="F37">
            <v>0.37870000000000004</v>
          </cell>
          <cell r="G37">
            <v>0.6</v>
          </cell>
          <cell r="H37">
            <v>0.02</v>
          </cell>
          <cell r="I37">
            <v>0.01</v>
          </cell>
          <cell r="J37">
            <v>0.01</v>
          </cell>
          <cell r="L37">
            <v>2</v>
          </cell>
          <cell r="M37">
            <v>9.1600000000000001E-2</v>
          </cell>
          <cell r="N37">
            <v>0.1</v>
          </cell>
          <cell r="O37">
            <v>0.1832</v>
          </cell>
          <cell r="P37">
            <v>0.2</v>
          </cell>
          <cell r="Q37">
            <v>0.19349937672422604</v>
          </cell>
          <cell r="R37">
            <v>0.33191666666666658</v>
          </cell>
          <cell r="S37">
            <v>9.9617975111006313E-2</v>
          </cell>
          <cell r="T37">
            <v>0.18950406328115912</v>
          </cell>
          <cell r="V37">
            <v>1.7</v>
          </cell>
          <cell r="W37">
            <v>0.1</v>
          </cell>
          <cell r="X37">
            <v>0.1</v>
          </cell>
          <cell r="Y37">
            <v>4.4999999999999998E-2</v>
          </cell>
          <cell r="Z37">
            <v>0.14000000000000001</v>
          </cell>
          <cell r="AA37">
            <v>0.17</v>
          </cell>
          <cell r="AB37">
            <v>0.2</v>
          </cell>
          <cell r="AC37">
            <v>0.37</v>
          </cell>
          <cell r="AD37">
            <v>7.6499999999999999E-2</v>
          </cell>
          <cell r="AE37">
            <v>0.28000000000000003</v>
          </cell>
          <cell r="AF37">
            <v>0.35650000000000004</v>
          </cell>
          <cell r="AG37">
            <v>0.49185000000000001</v>
          </cell>
          <cell r="AH37">
            <v>0.15</v>
          </cell>
          <cell r="AI37">
            <v>0.32092500000000002</v>
          </cell>
        </row>
        <row r="38">
          <cell r="B38" t="str">
            <v>Warehouse - New</v>
          </cell>
          <cell r="C38" t="str">
            <v>New</v>
          </cell>
          <cell r="D38" t="str">
            <v>POST2006</v>
          </cell>
          <cell r="F38">
            <v>0.94</v>
          </cell>
          <cell r="G38">
            <v>0.03</v>
          </cell>
          <cell r="H38">
            <v>0.03</v>
          </cell>
          <cell r="I38">
            <v>0.03</v>
          </cell>
          <cell r="J38">
            <v>0</v>
          </cell>
          <cell r="L38">
            <v>0.3</v>
          </cell>
          <cell r="M38">
            <v>9.1600000000000001E-2</v>
          </cell>
          <cell r="N38">
            <v>0.1</v>
          </cell>
          <cell r="O38">
            <v>2.7480000000000001E-2</v>
          </cell>
          <cell r="P38">
            <v>0.03</v>
          </cell>
          <cell r="Q38">
            <v>2.7557938144329899E-2</v>
          </cell>
          <cell r="R38">
            <v>0.33191666666666658</v>
          </cell>
          <cell r="S38">
            <v>9.9617975111006313E-2</v>
          </cell>
          <cell r="T38">
            <v>0.32473217105154306</v>
          </cell>
          <cell r="V38">
            <v>0.5</v>
          </cell>
          <cell r="W38">
            <v>0.1</v>
          </cell>
          <cell r="X38">
            <v>0.1</v>
          </cell>
          <cell r="Y38">
            <v>4.4999999999999998E-2</v>
          </cell>
          <cell r="Z38">
            <v>0.14000000000000001</v>
          </cell>
          <cell r="AA38">
            <v>0.05</v>
          </cell>
          <cell r="AB38">
            <v>0.03</v>
          </cell>
          <cell r="AC38">
            <v>0.08</v>
          </cell>
          <cell r="AD38">
            <v>2.2499999999999999E-2</v>
          </cell>
          <cell r="AE38">
            <v>4.2000000000000003E-2</v>
          </cell>
          <cell r="AF38">
            <v>6.4500000000000002E-2</v>
          </cell>
          <cell r="AG38">
            <v>0.49185000000000001</v>
          </cell>
          <cell r="AH38">
            <v>0.15</v>
          </cell>
          <cell r="AI38">
            <v>0.49185000000000001</v>
          </cell>
        </row>
        <row r="39">
          <cell r="B39" t="str">
            <v>Supermarket - New</v>
          </cell>
          <cell r="C39" t="str">
            <v>New</v>
          </cell>
          <cell r="D39" t="str">
            <v>POST2006</v>
          </cell>
          <cell r="E39">
            <v>2.9399999999999999E-2</v>
          </cell>
          <cell r="F39">
            <v>0.97059899999999999</v>
          </cell>
          <cell r="G39">
            <v>0</v>
          </cell>
          <cell r="H39">
            <v>9.9999999999999995E-7</v>
          </cell>
          <cell r="I39">
            <v>0</v>
          </cell>
          <cell r="J39">
            <v>0</v>
          </cell>
          <cell r="L39">
            <v>3</v>
          </cell>
          <cell r="M39">
            <v>9.1600000000000001E-2</v>
          </cell>
          <cell r="N39">
            <v>0.1</v>
          </cell>
          <cell r="O39">
            <v>0.27479999999999999</v>
          </cell>
          <cell r="P39">
            <v>0.30000000000000004</v>
          </cell>
          <cell r="Q39">
            <v>0.27480000000000004</v>
          </cell>
          <cell r="R39">
            <v>0.33191666666666658</v>
          </cell>
          <cell r="S39">
            <v>9.9617975111006313E-2</v>
          </cell>
          <cell r="T39">
            <v>0.33191666666666658</v>
          </cell>
          <cell r="V39">
            <v>2.25</v>
          </cell>
          <cell r="W39">
            <v>0.1</v>
          </cell>
          <cell r="X39">
            <v>0.1</v>
          </cell>
          <cell r="Y39">
            <v>4.4999999999999998E-2</v>
          </cell>
          <cell r="Z39">
            <v>0.14000000000000001</v>
          </cell>
          <cell r="AA39">
            <v>0.22500000000000001</v>
          </cell>
          <cell r="AB39">
            <v>0.30000000000000004</v>
          </cell>
          <cell r="AC39">
            <v>0.52500000000000002</v>
          </cell>
          <cell r="AD39">
            <v>0.10124999999999999</v>
          </cell>
          <cell r="AE39">
            <v>0.42000000000000004</v>
          </cell>
          <cell r="AF39">
            <v>0.52124999999999999</v>
          </cell>
          <cell r="AG39">
            <v>0.49185000000000001</v>
          </cell>
          <cell r="AH39">
            <v>0.15</v>
          </cell>
          <cell r="AI39" t="e">
            <v>#DIV/0!</v>
          </cell>
        </row>
        <row r="40">
          <cell r="B40" t="str">
            <v>MIniMart - New</v>
          </cell>
          <cell r="C40" t="str">
            <v>New</v>
          </cell>
          <cell r="D40" t="str">
            <v>POST2006</v>
          </cell>
          <cell r="E40">
            <v>2.9399999999999999E-2</v>
          </cell>
          <cell r="F40">
            <v>0.97059899999999999</v>
          </cell>
          <cell r="G40">
            <v>0</v>
          </cell>
          <cell r="H40">
            <v>9.9999999999999995E-7</v>
          </cell>
          <cell r="I40">
            <v>0</v>
          </cell>
          <cell r="J40">
            <v>0</v>
          </cell>
          <cell r="L40">
            <v>3</v>
          </cell>
          <cell r="M40">
            <v>9.1600000000000001E-2</v>
          </cell>
          <cell r="N40">
            <v>0.1</v>
          </cell>
          <cell r="O40">
            <v>0.27479999999999999</v>
          </cell>
          <cell r="P40">
            <v>0.30000000000000004</v>
          </cell>
          <cell r="Q40">
            <v>0.27480000000000004</v>
          </cell>
          <cell r="R40">
            <v>0.33191666666666658</v>
          </cell>
          <cell r="S40">
            <v>9.9617975111006313E-2</v>
          </cell>
          <cell r="T40">
            <v>0.33191666666666658</v>
          </cell>
          <cell r="V40">
            <v>2.25</v>
          </cell>
          <cell r="W40">
            <v>0.1</v>
          </cell>
          <cell r="X40">
            <v>0.1</v>
          </cell>
          <cell r="Y40">
            <v>4.4999999999999998E-2</v>
          </cell>
          <cell r="Z40">
            <v>0.14000000000000001</v>
          </cell>
          <cell r="AA40">
            <v>0.22500000000000001</v>
          </cell>
          <cell r="AB40">
            <v>0.30000000000000004</v>
          </cell>
          <cell r="AC40">
            <v>0.52500000000000002</v>
          </cell>
          <cell r="AD40">
            <v>0.10124999999999999</v>
          </cell>
          <cell r="AE40">
            <v>0.42000000000000004</v>
          </cell>
          <cell r="AF40">
            <v>0.52124999999999999</v>
          </cell>
          <cell r="AG40">
            <v>0.49185000000000001</v>
          </cell>
          <cell r="AH40">
            <v>0.15</v>
          </cell>
          <cell r="AI40" t="e">
            <v>#DIV/0!</v>
          </cell>
        </row>
        <row r="41">
          <cell r="B41" t="str">
            <v>Restaurant - New</v>
          </cell>
          <cell r="C41" t="str">
            <v>New</v>
          </cell>
          <cell r="D41" t="str">
            <v>POST2006</v>
          </cell>
          <cell r="E41">
            <v>5.6000000000000001E-2</v>
          </cell>
          <cell r="F41">
            <v>0.87399999999999989</v>
          </cell>
          <cell r="G41">
            <v>0</v>
          </cell>
          <cell r="H41">
            <v>7.0000000000000007E-2</v>
          </cell>
          <cell r="I41">
            <v>7.0000000000000007E-2</v>
          </cell>
          <cell r="J41">
            <v>0</v>
          </cell>
          <cell r="L41">
            <v>6</v>
          </cell>
          <cell r="M41">
            <v>9.1600000000000001E-2</v>
          </cell>
          <cell r="N41">
            <v>0.1</v>
          </cell>
          <cell r="O41">
            <v>0.54959999999999998</v>
          </cell>
          <cell r="P41">
            <v>0.60000000000000009</v>
          </cell>
          <cell r="Q41">
            <v>0.54959999999999998</v>
          </cell>
          <cell r="R41">
            <v>0.33191666666666658</v>
          </cell>
          <cell r="S41">
            <v>9.9617975111006313E-2</v>
          </cell>
          <cell r="T41">
            <v>0.33191666666666658</v>
          </cell>
          <cell r="V41">
            <v>2.5</v>
          </cell>
          <cell r="W41">
            <v>0.1</v>
          </cell>
          <cell r="X41">
            <v>0.1</v>
          </cell>
          <cell r="Y41">
            <v>4.4999999999999998E-2</v>
          </cell>
          <cell r="Z41">
            <v>0.14000000000000001</v>
          </cell>
          <cell r="AA41">
            <v>0.25</v>
          </cell>
          <cell r="AB41">
            <v>0.60000000000000009</v>
          </cell>
          <cell r="AC41">
            <v>0.85000000000000009</v>
          </cell>
          <cell r="AD41">
            <v>0.11249999999999999</v>
          </cell>
          <cell r="AE41">
            <v>0.84000000000000008</v>
          </cell>
          <cell r="AF41">
            <v>0.95250000000000012</v>
          </cell>
          <cell r="AG41">
            <v>0.49185000000000001</v>
          </cell>
          <cell r="AH41">
            <v>0.15</v>
          </cell>
          <cell r="AI41">
            <v>0.49184999999999995</v>
          </cell>
        </row>
        <row r="42">
          <cell r="B42" t="str">
            <v>Lodging - New</v>
          </cell>
          <cell r="C42" t="str">
            <v>New</v>
          </cell>
          <cell r="D42" t="str">
            <v>POST2006</v>
          </cell>
          <cell r="E42">
            <v>3.2000000000000002E-3</v>
          </cell>
          <cell r="F42">
            <v>0.54679999999999995</v>
          </cell>
          <cell r="G42">
            <v>0.15</v>
          </cell>
          <cell r="H42">
            <v>0.3</v>
          </cell>
          <cell r="I42">
            <v>0.15</v>
          </cell>
          <cell r="J42">
            <v>0.15</v>
          </cell>
          <cell r="L42">
            <v>1.3</v>
          </cell>
          <cell r="M42">
            <v>9.1600000000000001E-2</v>
          </cell>
          <cell r="N42">
            <v>0.1</v>
          </cell>
          <cell r="O42">
            <v>0.11908000000000001</v>
          </cell>
          <cell r="P42">
            <v>0.13</v>
          </cell>
          <cell r="Q42">
            <v>0.1214307462686567</v>
          </cell>
          <cell r="R42">
            <v>0.33191666666666658</v>
          </cell>
          <cell r="S42">
            <v>9.9617975111006313E-2</v>
          </cell>
          <cell r="T42">
            <v>0.28190977267506351</v>
          </cell>
          <cell r="V42">
            <v>1.1000000000000001</v>
          </cell>
          <cell r="W42">
            <v>0.1</v>
          </cell>
          <cell r="X42">
            <v>0.1</v>
          </cell>
          <cell r="Y42">
            <v>4.4999999999999998E-2</v>
          </cell>
          <cell r="Z42">
            <v>0.14000000000000001</v>
          </cell>
          <cell r="AA42">
            <v>0.11000000000000001</v>
          </cell>
          <cell r="AB42">
            <v>0.13</v>
          </cell>
          <cell r="AC42">
            <v>0.24000000000000002</v>
          </cell>
          <cell r="AD42">
            <v>4.9500000000000002E-2</v>
          </cell>
          <cell r="AE42">
            <v>0.18200000000000002</v>
          </cell>
          <cell r="AF42">
            <v>0.23150000000000004</v>
          </cell>
          <cell r="AG42">
            <v>0.49185000000000001</v>
          </cell>
          <cell r="AH42">
            <v>0.15</v>
          </cell>
          <cell r="AI42">
            <v>0.32092499999999996</v>
          </cell>
        </row>
        <row r="43">
          <cell r="B43" t="str">
            <v>Hospital - New</v>
          </cell>
          <cell r="C43" t="str">
            <v>New</v>
          </cell>
          <cell r="D43" t="str">
            <v>POST2006</v>
          </cell>
          <cell r="F43">
            <v>0.24</v>
          </cell>
          <cell r="G43">
            <v>0.75</v>
          </cell>
          <cell r="H43">
            <v>0.01</v>
          </cell>
          <cell r="I43">
            <v>0.01</v>
          </cell>
          <cell r="J43">
            <v>0</v>
          </cell>
          <cell r="L43">
            <v>5</v>
          </cell>
          <cell r="M43">
            <v>9.1600000000000001E-2</v>
          </cell>
          <cell r="N43">
            <v>0.1</v>
          </cell>
          <cell r="O43">
            <v>0.45800000000000002</v>
          </cell>
          <cell r="P43">
            <v>0.5</v>
          </cell>
          <cell r="Q43">
            <v>0.48981818181818187</v>
          </cell>
          <cell r="R43">
            <v>0.33191666666666658</v>
          </cell>
          <cell r="S43">
            <v>9.9617975111006313E-2</v>
          </cell>
          <cell r="T43">
            <v>0.15593280942753002</v>
          </cell>
          <cell r="V43">
            <v>4</v>
          </cell>
          <cell r="W43">
            <v>0.1</v>
          </cell>
          <cell r="X43">
            <v>0.1</v>
          </cell>
          <cell r="Y43">
            <v>4.4999999999999998E-2</v>
          </cell>
          <cell r="Z43">
            <v>0.14000000000000001</v>
          </cell>
          <cell r="AA43">
            <v>0.4</v>
          </cell>
          <cell r="AB43">
            <v>0.5</v>
          </cell>
          <cell r="AC43">
            <v>0.9</v>
          </cell>
          <cell r="AD43">
            <v>0.18</v>
          </cell>
          <cell r="AE43">
            <v>0.70000000000000007</v>
          </cell>
          <cell r="AF43">
            <v>0.88000000000000012</v>
          </cell>
          <cell r="AG43">
            <v>0.49185000000000001</v>
          </cell>
          <cell r="AH43">
            <v>0.15</v>
          </cell>
          <cell r="AI43">
            <v>0.49185000000000001</v>
          </cell>
        </row>
        <row r="44">
          <cell r="B44" t="str">
            <v>OtherHealth - New</v>
          </cell>
          <cell r="C44" t="str">
            <v>New</v>
          </cell>
          <cell r="D44" t="str">
            <v>POST2006</v>
          </cell>
          <cell r="F44">
            <v>0.75</v>
          </cell>
          <cell r="G44">
            <v>0.2</v>
          </cell>
          <cell r="H44">
            <v>0.05</v>
          </cell>
          <cell r="I44">
            <v>0.03</v>
          </cell>
          <cell r="J44">
            <v>0.02</v>
          </cell>
          <cell r="L44">
            <v>3</v>
          </cell>
          <cell r="M44">
            <v>9.1600000000000001E-2</v>
          </cell>
          <cell r="N44">
            <v>0.1</v>
          </cell>
          <cell r="O44">
            <v>0.27479999999999999</v>
          </cell>
          <cell r="P44">
            <v>0.30000000000000004</v>
          </cell>
          <cell r="Q44">
            <v>0.28010526315789475</v>
          </cell>
          <cell r="R44">
            <v>0.33191666666666658</v>
          </cell>
          <cell r="S44">
            <v>9.9617975111006313E-2</v>
          </cell>
          <cell r="T44">
            <v>0.28301167897073809</v>
          </cell>
          <cell r="V44">
            <v>2</v>
          </cell>
          <cell r="W44">
            <v>0.1</v>
          </cell>
          <cell r="X44">
            <v>0.1</v>
          </cell>
          <cell r="Y44">
            <v>4.4999999999999998E-2</v>
          </cell>
          <cell r="Z44">
            <v>0.14000000000000001</v>
          </cell>
          <cell r="AA44">
            <v>0.2</v>
          </cell>
          <cell r="AB44">
            <v>0.30000000000000004</v>
          </cell>
          <cell r="AC44">
            <v>0.5</v>
          </cell>
          <cell r="AD44">
            <v>0.09</v>
          </cell>
          <cell r="AE44">
            <v>0.42000000000000004</v>
          </cell>
          <cell r="AF44">
            <v>0.51</v>
          </cell>
          <cell r="AG44">
            <v>0.49185000000000001</v>
          </cell>
          <cell r="AH44">
            <v>0.15</v>
          </cell>
          <cell r="AI44">
            <v>0.35510999999999998</v>
          </cell>
        </row>
        <row r="45">
          <cell r="B45" t="str">
            <v>Assembly - New</v>
          </cell>
          <cell r="C45" t="str">
            <v>New</v>
          </cell>
          <cell r="D45" t="str">
            <v>POST2006</v>
          </cell>
          <cell r="E45">
            <v>0.01</v>
          </cell>
          <cell r="F45">
            <v>0.79</v>
          </cell>
          <cell r="G45">
            <v>0.1</v>
          </cell>
          <cell r="H45">
            <v>0.1</v>
          </cell>
          <cell r="I45">
            <v>0.05</v>
          </cell>
          <cell r="J45">
            <v>0.05</v>
          </cell>
          <cell r="L45">
            <v>2.5</v>
          </cell>
          <cell r="M45">
            <v>9.1600000000000001E-2</v>
          </cell>
          <cell r="N45">
            <v>0.1</v>
          </cell>
          <cell r="O45">
            <v>0.22900000000000001</v>
          </cell>
          <cell r="P45">
            <v>0.25</v>
          </cell>
          <cell r="Q45">
            <v>0.23135955056179772</v>
          </cell>
          <cell r="R45">
            <v>0.33191666666666658</v>
          </cell>
          <cell r="S45">
            <v>9.9617975111006313E-2</v>
          </cell>
          <cell r="T45">
            <v>0.30581569008737897</v>
          </cell>
          <cell r="V45">
            <v>2.5</v>
          </cell>
          <cell r="W45">
            <v>0.1</v>
          </cell>
          <cell r="X45">
            <v>0.1</v>
          </cell>
          <cell r="Y45">
            <v>4.4999999999999998E-2</v>
          </cell>
          <cell r="Z45">
            <v>0.14000000000000001</v>
          </cell>
          <cell r="AA45">
            <v>0.25</v>
          </cell>
          <cell r="AB45">
            <v>0.25</v>
          </cell>
          <cell r="AC45">
            <v>0.5</v>
          </cell>
          <cell r="AD45">
            <v>0.11249999999999999</v>
          </cell>
          <cell r="AE45">
            <v>0.35000000000000003</v>
          </cell>
          <cell r="AF45">
            <v>0.46250000000000002</v>
          </cell>
          <cell r="AG45">
            <v>0.49185000000000001</v>
          </cell>
          <cell r="AH45">
            <v>0.15</v>
          </cell>
          <cell r="AI45">
            <v>0.32092500000000002</v>
          </cell>
        </row>
        <row r="46">
          <cell r="B46" t="str">
            <v>Other - New</v>
          </cell>
          <cell r="C46" t="str">
            <v>New</v>
          </cell>
          <cell r="D46" t="str">
            <v>POST2006</v>
          </cell>
          <cell r="E46">
            <v>0.03</v>
          </cell>
          <cell r="F46">
            <v>0.61999999999999988</v>
          </cell>
          <cell r="G46">
            <v>0.3</v>
          </cell>
          <cell r="H46">
            <v>0.05</v>
          </cell>
          <cell r="I46">
            <v>0.03</v>
          </cell>
          <cell r="J46">
            <v>0.02</v>
          </cell>
          <cell r="L46">
            <v>1.6</v>
          </cell>
          <cell r="M46">
            <v>9.1600000000000001E-2</v>
          </cell>
          <cell r="N46">
            <v>0.1</v>
          </cell>
          <cell r="O46">
            <v>0.14656</v>
          </cell>
          <cell r="P46">
            <v>0.16000000000000003</v>
          </cell>
          <cell r="Q46">
            <v>0.15094260869565215</v>
          </cell>
          <cell r="R46">
            <v>0.33191666666666658</v>
          </cell>
          <cell r="S46">
            <v>9.9617975111006313E-2</v>
          </cell>
          <cell r="T46">
            <v>0.25616709333329907</v>
          </cell>
          <cell r="V46">
            <v>2.25</v>
          </cell>
          <cell r="W46">
            <v>0.1</v>
          </cell>
          <cell r="X46">
            <v>0.1</v>
          </cell>
          <cell r="Y46">
            <v>4.4999999999999998E-2</v>
          </cell>
          <cell r="Z46">
            <v>0.14000000000000001</v>
          </cell>
          <cell r="AA46">
            <v>0.22500000000000001</v>
          </cell>
          <cell r="AB46">
            <v>0.16000000000000003</v>
          </cell>
          <cell r="AC46">
            <v>0.38500000000000001</v>
          </cell>
          <cell r="AD46">
            <v>0.10124999999999999</v>
          </cell>
          <cell r="AE46">
            <v>0.22400000000000003</v>
          </cell>
          <cell r="AF46">
            <v>0.32525000000000004</v>
          </cell>
          <cell r="AG46">
            <v>0.49185000000000001</v>
          </cell>
          <cell r="AH46">
            <v>0.15</v>
          </cell>
          <cell r="AI46">
            <v>0.35510999999999998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dimension ref="B3:D23"/>
  <sheetViews>
    <sheetView tabSelected="1" workbookViewId="0">
      <selection activeCell="D25" sqref="D25"/>
    </sheetView>
  </sheetViews>
  <sheetFormatPr defaultRowHeight="12.75"/>
  <cols>
    <col min="1" max="1" width="9.140625" style="20"/>
    <col min="2" max="2" width="31" style="20" customWidth="1"/>
    <col min="3" max="3" width="64.28515625" style="24" customWidth="1"/>
    <col min="4" max="4" width="86.85546875" style="20" customWidth="1"/>
    <col min="5" max="5" width="28.85546875" style="20" customWidth="1"/>
    <col min="6" max="257" width="9.140625" style="20"/>
    <col min="258" max="258" width="26.7109375" style="20" customWidth="1"/>
    <col min="259" max="259" width="73.7109375" style="20" customWidth="1"/>
    <col min="260" max="260" width="58.42578125" style="20" customWidth="1"/>
    <col min="261" max="261" width="28.85546875" style="20" customWidth="1"/>
    <col min="262" max="513" width="9.140625" style="20"/>
    <col min="514" max="514" width="26.7109375" style="20" customWidth="1"/>
    <col min="515" max="515" width="73.7109375" style="20" customWidth="1"/>
    <col min="516" max="516" width="58.42578125" style="20" customWidth="1"/>
    <col min="517" max="517" width="28.85546875" style="20" customWidth="1"/>
    <col min="518" max="769" width="9.140625" style="20"/>
    <col min="770" max="770" width="26.7109375" style="20" customWidth="1"/>
    <col min="771" max="771" width="73.7109375" style="20" customWidth="1"/>
    <col min="772" max="772" width="58.42578125" style="20" customWidth="1"/>
    <col min="773" max="773" width="28.85546875" style="20" customWidth="1"/>
    <col min="774" max="1025" width="9.140625" style="20"/>
    <col min="1026" max="1026" width="26.7109375" style="20" customWidth="1"/>
    <col min="1027" max="1027" width="73.7109375" style="20" customWidth="1"/>
    <col min="1028" max="1028" width="58.42578125" style="20" customWidth="1"/>
    <col min="1029" max="1029" width="28.85546875" style="20" customWidth="1"/>
    <col min="1030" max="1281" width="9.140625" style="20"/>
    <col min="1282" max="1282" width="26.7109375" style="20" customWidth="1"/>
    <col min="1283" max="1283" width="73.7109375" style="20" customWidth="1"/>
    <col min="1284" max="1284" width="58.42578125" style="20" customWidth="1"/>
    <col min="1285" max="1285" width="28.85546875" style="20" customWidth="1"/>
    <col min="1286" max="1537" width="9.140625" style="20"/>
    <col min="1538" max="1538" width="26.7109375" style="20" customWidth="1"/>
    <col min="1539" max="1539" width="73.7109375" style="20" customWidth="1"/>
    <col min="1540" max="1540" width="58.42578125" style="20" customWidth="1"/>
    <col min="1541" max="1541" width="28.85546875" style="20" customWidth="1"/>
    <col min="1542" max="1793" width="9.140625" style="20"/>
    <col min="1794" max="1794" width="26.7109375" style="20" customWidth="1"/>
    <col min="1795" max="1795" width="73.7109375" style="20" customWidth="1"/>
    <col min="1796" max="1796" width="58.42578125" style="20" customWidth="1"/>
    <col min="1797" max="1797" width="28.85546875" style="20" customWidth="1"/>
    <col min="1798" max="2049" width="9.140625" style="20"/>
    <col min="2050" max="2050" width="26.7109375" style="20" customWidth="1"/>
    <col min="2051" max="2051" width="73.7109375" style="20" customWidth="1"/>
    <col min="2052" max="2052" width="58.42578125" style="20" customWidth="1"/>
    <col min="2053" max="2053" width="28.85546875" style="20" customWidth="1"/>
    <col min="2054" max="2305" width="9.140625" style="20"/>
    <col min="2306" max="2306" width="26.7109375" style="20" customWidth="1"/>
    <col min="2307" max="2307" width="73.7109375" style="20" customWidth="1"/>
    <col min="2308" max="2308" width="58.42578125" style="20" customWidth="1"/>
    <col min="2309" max="2309" width="28.85546875" style="20" customWidth="1"/>
    <col min="2310" max="2561" width="9.140625" style="20"/>
    <col min="2562" max="2562" width="26.7109375" style="20" customWidth="1"/>
    <col min="2563" max="2563" width="73.7109375" style="20" customWidth="1"/>
    <col min="2564" max="2564" width="58.42578125" style="20" customWidth="1"/>
    <col min="2565" max="2565" width="28.85546875" style="20" customWidth="1"/>
    <col min="2566" max="2817" width="9.140625" style="20"/>
    <col min="2818" max="2818" width="26.7109375" style="20" customWidth="1"/>
    <col min="2819" max="2819" width="73.7109375" style="20" customWidth="1"/>
    <col min="2820" max="2820" width="58.42578125" style="20" customWidth="1"/>
    <col min="2821" max="2821" width="28.85546875" style="20" customWidth="1"/>
    <col min="2822" max="3073" width="9.140625" style="20"/>
    <col min="3074" max="3074" width="26.7109375" style="20" customWidth="1"/>
    <col min="3075" max="3075" width="73.7109375" style="20" customWidth="1"/>
    <col min="3076" max="3076" width="58.42578125" style="20" customWidth="1"/>
    <col min="3077" max="3077" width="28.85546875" style="20" customWidth="1"/>
    <col min="3078" max="3329" width="9.140625" style="20"/>
    <col min="3330" max="3330" width="26.7109375" style="20" customWidth="1"/>
    <col min="3331" max="3331" width="73.7109375" style="20" customWidth="1"/>
    <col min="3332" max="3332" width="58.42578125" style="20" customWidth="1"/>
    <col min="3333" max="3333" width="28.85546875" style="20" customWidth="1"/>
    <col min="3334" max="3585" width="9.140625" style="20"/>
    <col min="3586" max="3586" width="26.7109375" style="20" customWidth="1"/>
    <col min="3587" max="3587" width="73.7109375" style="20" customWidth="1"/>
    <col min="3588" max="3588" width="58.42578125" style="20" customWidth="1"/>
    <col min="3589" max="3589" width="28.85546875" style="20" customWidth="1"/>
    <col min="3590" max="3841" width="9.140625" style="20"/>
    <col min="3842" max="3842" width="26.7109375" style="20" customWidth="1"/>
    <col min="3843" max="3843" width="73.7109375" style="20" customWidth="1"/>
    <col min="3844" max="3844" width="58.42578125" style="20" customWidth="1"/>
    <col min="3845" max="3845" width="28.85546875" style="20" customWidth="1"/>
    <col min="3846" max="4097" width="9.140625" style="20"/>
    <col min="4098" max="4098" width="26.7109375" style="20" customWidth="1"/>
    <col min="4099" max="4099" width="73.7109375" style="20" customWidth="1"/>
    <col min="4100" max="4100" width="58.42578125" style="20" customWidth="1"/>
    <col min="4101" max="4101" width="28.85546875" style="20" customWidth="1"/>
    <col min="4102" max="4353" width="9.140625" style="20"/>
    <col min="4354" max="4354" width="26.7109375" style="20" customWidth="1"/>
    <col min="4355" max="4355" width="73.7109375" style="20" customWidth="1"/>
    <col min="4356" max="4356" width="58.42578125" style="20" customWidth="1"/>
    <col min="4357" max="4357" width="28.85546875" style="20" customWidth="1"/>
    <col min="4358" max="4609" width="9.140625" style="20"/>
    <col min="4610" max="4610" width="26.7109375" style="20" customWidth="1"/>
    <col min="4611" max="4611" width="73.7109375" style="20" customWidth="1"/>
    <col min="4612" max="4612" width="58.42578125" style="20" customWidth="1"/>
    <col min="4613" max="4613" width="28.85546875" style="20" customWidth="1"/>
    <col min="4614" max="4865" width="9.140625" style="20"/>
    <col min="4866" max="4866" width="26.7109375" style="20" customWidth="1"/>
    <col min="4867" max="4867" width="73.7109375" style="20" customWidth="1"/>
    <col min="4868" max="4868" width="58.42578125" style="20" customWidth="1"/>
    <col min="4869" max="4869" width="28.85546875" style="20" customWidth="1"/>
    <col min="4870" max="5121" width="9.140625" style="20"/>
    <col min="5122" max="5122" width="26.7109375" style="20" customWidth="1"/>
    <col min="5123" max="5123" width="73.7109375" style="20" customWidth="1"/>
    <col min="5124" max="5124" width="58.42578125" style="20" customWidth="1"/>
    <col min="5125" max="5125" width="28.85546875" style="20" customWidth="1"/>
    <col min="5126" max="5377" width="9.140625" style="20"/>
    <col min="5378" max="5378" width="26.7109375" style="20" customWidth="1"/>
    <col min="5379" max="5379" width="73.7109375" style="20" customWidth="1"/>
    <col min="5380" max="5380" width="58.42578125" style="20" customWidth="1"/>
    <col min="5381" max="5381" width="28.85546875" style="20" customWidth="1"/>
    <col min="5382" max="5633" width="9.140625" style="20"/>
    <col min="5634" max="5634" width="26.7109375" style="20" customWidth="1"/>
    <col min="5635" max="5635" width="73.7109375" style="20" customWidth="1"/>
    <col min="5636" max="5636" width="58.42578125" style="20" customWidth="1"/>
    <col min="5637" max="5637" width="28.85546875" style="20" customWidth="1"/>
    <col min="5638" max="5889" width="9.140625" style="20"/>
    <col min="5890" max="5890" width="26.7109375" style="20" customWidth="1"/>
    <col min="5891" max="5891" width="73.7109375" style="20" customWidth="1"/>
    <col min="5892" max="5892" width="58.42578125" style="20" customWidth="1"/>
    <col min="5893" max="5893" width="28.85546875" style="20" customWidth="1"/>
    <col min="5894" max="6145" width="9.140625" style="20"/>
    <col min="6146" max="6146" width="26.7109375" style="20" customWidth="1"/>
    <col min="6147" max="6147" width="73.7109375" style="20" customWidth="1"/>
    <col min="6148" max="6148" width="58.42578125" style="20" customWidth="1"/>
    <col min="6149" max="6149" width="28.85546875" style="20" customWidth="1"/>
    <col min="6150" max="6401" width="9.140625" style="20"/>
    <col min="6402" max="6402" width="26.7109375" style="20" customWidth="1"/>
    <col min="6403" max="6403" width="73.7109375" style="20" customWidth="1"/>
    <col min="6404" max="6404" width="58.42578125" style="20" customWidth="1"/>
    <col min="6405" max="6405" width="28.85546875" style="20" customWidth="1"/>
    <col min="6406" max="6657" width="9.140625" style="20"/>
    <col min="6658" max="6658" width="26.7109375" style="20" customWidth="1"/>
    <col min="6659" max="6659" width="73.7109375" style="20" customWidth="1"/>
    <col min="6660" max="6660" width="58.42578125" style="20" customWidth="1"/>
    <col min="6661" max="6661" width="28.85546875" style="20" customWidth="1"/>
    <col min="6662" max="6913" width="9.140625" style="20"/>
    <col min="6914" max="6914" width="26.7109375" style="20" customWidth="1"/>
    <col min="6915" max="6915" width="73.7109375" style="20" customWidth="1"/>
    <col min="6916" max="6916" width="58.42578125" style="20" customWidth="1"/>
    <col min="6917" max="6917" width="28.85546875" style="20" customWidth="1"/>
    <col min="6918" max="7169" width="9.140625" style="20"/>
    <col min="7170" max="7170" width="26.7109375" style="20" customWidth="1"/>
    <col min="7171" max="7171" width="73.7109375" style="20" customWidth="1"/>
    <col min="7172" max="7172" width="58.42578125" style="20" customWidth="1"/>
    <col min="7173" max="7173" width="28.85546875" style="20" customWidth="1"/>
    <col min="7174" max="7425" width="9.140625" style="20"/>
    <col min="7426" max="7426" width="26.7109375" style="20" customWidth="1"/>
    <col min="7427" max="7427" width="73.7109375" style="20" customWidth="1"/>
    <col min="7428" max="7428" width="58.42578125" style="20" customWidth="1"/>
    <col min="7429" max="7429" width="28.85546875" style="20" customWidth="1"/>
    <col min="7430" max="7681" width="9.140625" style="20"/>
    <col min="7682" max="7682" width="26.7109375" style="20" customWidth="1"/>
    <col min="7683" max="7683" width="73.7109375" style="20" customWidth="1"/>
    <col min="7684" max="7684" width="58.42578125" style="20" customWidth="1"/>
    <col min="7685" max="7685" width="28.85546875" style="20" customWidth="1"/>
    <col min="7686" max="7937" width="9.140625" style="20"/>
    <col min="7938" max="7938" width="26.7109375" style="20" customWidth="1"/>
    <col min="7939" max="7939" width="73.7109375" style="20" customWidth="1"/>
    <col min="7940" max="7940" width="58.42578125" style="20" customWidth="1"/>
    <col min="7941" max="7941" width="28.85546875" style="20" customWidth="1"/>
    <col min="7942" max="8193" width="9.140625" style="20"/>
    <col min="8194" max="8194" width="26.7109375" style="20" customWidth="1"/>
    <col min="8195" max="8195" width="73.7109375" style="20" customWidth="1"/>
    <col min="8196" max="8196" width="58.42578125" style="20" customWidth="1"/>
    <col min="8197" max="8197" width="28.85546875" style="20" customWidth="1"/>
    <col min="8198" max="8449" width="9.140625" style="20"/>
    <col min="8450" max="8450" width="26.7109375" style="20" customWidth="1"/>
    <col min="8451" max="8451" width="73.7109375" style="20" customWidth="1"/>
    <col min="8452" max="8452" width="58.42578125" style="20" customWidth="1"/>
    <col min="8453" max="8453" width="28.85546875" style="20" customWidth="1"/>
    <col min="8454" max="8705" width="9.140625" style="20"/>
    <col min="8706" max="8706" width="26.7109375" style="20" customWidth="1"/>
    <col min="8707" max="8707" width="73.7109375" style="20" customWidth="1"/>
    <col min="8708" max="8708" width="58.42578125" style="20" customWidth="1"/>
    <col min="8709" max="8709" width="28.85546875" style="20" customWidth="1"/>
    <col min="8710" max="8961" width="9.140625" style="20"/>
    <col min="8962" max="8962" width="26.7109375" style="20" customWidth="1"/>
    <col min="8963" max="8963" width="73.7109375" style="20" customWidth="1"/>
    <col min="8964" max="8964" width="58.42578125" style="20" customWidth="1"/>
    <col min="8965" max="8965" width="28.85546875" style="20" customWidth="1"/>
    <col min="8966" max="9217" width="9.140625" style="20"/>
    <col min="9218" max="9218" width="26.7109375" style="20" customWidth="1"/>
    <col min="9219" max="9219" width="73.7109375" style="20" customWidth="1"/>
    <col min="9220" max="9220" width="58.42578125" style="20" customWidth="1"/>
    <col min="9221" max="9221" width="28.85546875" style="20" customWidth="1"/>
    <col min="9222" max="9473" width="9.140625" style="20"/>
    <col min="9474" max="9474" width="26.7109375" style="20" customWidth="1"/>
    <col min="9475" max="9475" width="73.7109375" style="20" customWidth="1"/>
    <col min="9476" max="9476" width="58.42578125" style="20" customWidth="1"/>
    <col min="9477" max="9477" width="28.85546875" style="20" customWidth="1"/>
    <col min="9478" max="9729" width="9.140625" style="20"/>
    <col min="9730" max="9730" width="26.7109375" style="20" customWidth="1"/>
    <col min="9731" max="9731" width="73.7109375" style="20" customWidth="1"/>
    <col min="9732" max="9732" width="58.42578125" style="20" customWidth="1"/>
    <col min="9733" max="9733" width="28.85546875" style="20" customWidth="1"/>
    <col min="9734" max="9985" width="9.140625" style="20"/>
    <col min="9986" max="9986" width="26.7109375" style="20" customWidth="1"/>
    <col min="9987" max="9987" width="73.7109375" style="20" customWidth="1"/>
    <col min="9988" max="9988" width="58.42578125" style="20" customWidth="1"/>
    <col min="9989" max="9989" width="28.85546875" style="20" customWidth="1"/>
    <col min="9990" max="10241" width="9.140625" style="20"/>
    <col min="10242" max="10242" width="26.7109375" style="20" customWidth="1"/>
    <col min="10243" max="10243" width="73.7109375" style="20" customWidth="1"/>
    <col min="10244" max="10244" width="58.42578125" style="20" customWidth="1"/>
    <col min="10245" max="10245" width="28.85546875" style="20" customWidth="1"/>
    <col min="10246" max="10497" width="9.140625" style="20"/>
    <col min="10498" max="10498" width="26.7109375" style="20" customWidth="1"/>
    <col min="10499" max="10499" width="73.7109375" style="20" customWidth="1"/>
    <col min="10500" max="10500" width="58.42578125" style="20" customWidth="1"/>
    <col min="10501" max="10501" width="28.85546875" style="20" customWidth="1"/>
    <col min="10502" max="10753" width="9.140625" style="20"/>
    <col min="10754" max="10754" width="26.7109375" style="20" customWidth="1"/>
    <col min="10755" max="10755" width="73.7109375" style="20" customWidth="1"/>
    <col min="10756" max="10756" width="58.42578125" style="20" customWidth="1"/>
    <col min="10757" max="10757" width="28.85546875" style="20" customWidth="1"/>
    <col min="10758" max="11009" width="9.140625" style="20"/>
    <col min="11010" max="11010" width="26.7109375" style="20" customWidth="1"/>
    <col min="11011" max="11011" width="73.7109375" style="20" customWidth="1"/>
    <col min="11012" max="11012" width="58.42578125" style="20" customWidth="1"/>
    <col min="11013" max="11013" width="28.85546875" style="20" customWidth="1"/>
    <col min="11014" max="11265" width="9.140625" style="20"/>
    <col min="11266" max="11266" width="26.7109375" style="20" customWidth="1"/>
    <col min="11267" max="11267" width="73.7109375" style="20" customWidth="1"/>
    <col min="11268" max="11268" width="58.42578125" style="20" customWidth="1"/>
    <col min="11269" max="11269" width="28.85546875" style="20" customWidth="1"/>
    <col min="11270" max="11521" width="9.140625" style="20"/>
    <col min="11522" max="11522" width="26.7109375" style="20" customWidth="1"/>
    <col min="11523" max="11523" width="73.7109375" style="20" customWidth="1"/>
    <col min="11524" max="11524" width="58.42578125" style="20" customWidth="1"/>
    <col min="11525" max="11525" width="28.85546875" style="20" customWidth="1"/>
    <col min="11526" max="11777" width="9.140625" style="20"/>
    <col min="11778" max="11778" width="26.7109375" style="20" customWidth="1"/>
    <col min="11779" max="11779" width="73.7109375" style="20" customWidth="1"/>
    <col min="11780" max="11780" width="58.42578125" style="20" customWidth="1"/>
    <col min="11781" max="11781" width="28.85546875" style="20" customWidth="1"/>
    <col min="11782" max="12033" width="9.140625" style="20"/>
    <col min="12034" max="12034" width="26.7109375" style="20" customWidth="1"/>
    <col min="12035" max="12035" width="73.7109375" style="20" customWidth="1"/>
    <col min="12036" max="12036" width="58.42578125" style="20" customWidth="1"/>
    <col min="12037" max="12037" width="28.85546875" style="20" customWidth="1"/>
    <col min="12038" max="12289" width="9.140625" style="20"/>
    <col min="12290" max="12290" width="26.7109375" style="20" customWidth="1"/>
    <col min="12291" max="12291" width="73.7109375" style="20" customWidth="1"/>
    <col min="12292" max="12292" width="58.42578125" style="20" customWidth="1"/>
    <col min="12293" max="12293" width="28.85546875" style="20" customWidth="1"/>
    <col min="12294" max="12545" width="9.140625" style="20"/>
    <col min="12546" max="12546" width="26.7109375" style="20" customWidth="1"/>
    <col min="12547" max="12547" width="73.7109375" style="20" customWidth="1"/>
    <col min="12548" max="12548" width="58.42578125" style="20" customWidth="1"/>
    <col min="12549" max="12549" width="28.85546875" style="20" customWidth="1"/>
    <col min="12550" max="12801" width="9.140625" style="20"/>
    <col min="12802" max="12802" width="26.7109375" style="20" customWidth="1"/>
    <col min="12803" max="12803" width="73.7109375" style="20" customWidth="1"/>
    <col min="12804" max="12804" width="58.42578125" style="20" customWidth="1"/>
    <col min="12805" max="12805" width="28.85546875" style="20" customWidth="1"/>
    <col min="12806" max="13057" width="9.140625" style="20"/>
    <col min="13058" max="13058" width="26.7109375" style="20" customWidth="1"/>
    <col min="13059" max="13059" width="73.7109375" style="20" customWidth="1"/>
    <col min="13060" max="13060" width="58.42578125" style="20" customWidth="1"/>
    <col min="13061" max="13061" width="28.85546875" style="20" customWidth="1"/>
    <col min="13062" max="13313" width="9.140625" style="20"/>
    <col min="13314" max="13314" width="26.7109375" style="20" customWidth="1"/>
    <col min="13315" max="13315" width="73.7109375" style="20" customWidth="1"/>
    <col min="13316" max="13316" width="58.42578125" style="20" customWidth="1"/>
    <col min="13317" max="13317" width="28.85546875" style="20" customWidth="1"/>
    <col min="13318" max="13569" width="9.140625" style="20"/>
    <col min="13570" max="13570" width="26.7109375" style="20" customWidth="1"/>
    <col min="13571" max="13571" width="73.7109375" style="20" customWidth="1"/>
    <col min="13572" max="13572" width="58.42578125" style="20" customWidth="1"/>
    <col min="13573" max="13573" width="28.85546875" style="20" customWidth="1"/>
    <col min="13574" max="13825" width="9.140625" style="20"/>
    <col min="13826" max="13826" width="26.7109375" style="20" customWidth="1"/>
    <col min="13827" max="13827" width="73.7109375" style="20" customWidth="1"/>
    <col min="13828" max="13828" width="58.42578125" style="20" customWidth="1"/>
    <col min="13829" max="13829" width="28.85546875" style="20" customWidth="1"/>
    <col min="13830" max="14081" width="9.140625" style="20"/>
    <col min="14082" max="14082" width="26.7109375" style="20" customWidth="1"/>
    <col min="14083" max="14083" width="73.7109375" style="20" customWidth="1"/>
    <col min="14084" max="14084" width="58.42578125" style="20" customWidth="1"/>
    <col min="14085" max="14085" width="28.85546875" style="20" customWidth="1"/>
    <col min="14086" max="14337" width="9.140625" style="20"/>
    <col min="14338" max="14338" width="26.7109375" style="20" customWidth="1"/>
    <col min="14339" max="14339" width="73.7109375" style="20" customWidth="1"/>
    <col min="14340" max="14340" width="58.42578125" style="20" customWidth="1"/>
    <col min="14341" max="14341" width="28.85546875" style="20" customWidth="1"/>
    <col min="14342" max="14593" width="9.140625" style="20"/>
    <col min="14594" max="14594" width="26.7109375" style="20" customWidth="1"/>
    <col min="14595" max="14595" width="73.7109375" style="20" customWidth="1"/>
    <col min="14596" max="14596" width="58.42578125" style="20" customWidth="1"/>
    <col min="14597" max="14597" width="28.85546875" style="20" customWidth="1"/>
    <col min="14598" max="14849" width="9.140625" style="20"/>
    <col min="14850" max="14850" width="26.7109375" style="20" customWidth="1"/>
    <col min="14851" max="14851" width="73.7109375" style="20" customWidth="1"/>
    <col min="14852" max="14852" width="58.42578125" style="20" customWidth="1"/>
    <col min="14853" max="14853" width="28.85546875" style="20" customWidth="1"/>
    <col min="14854" max="15105" width="9.140625" style="20"/>
    <col min="15106" max="15106" width="26.7109375" style="20" customWidth="1"/>
    <col min="15107" max="15107" width="73.7109375" style="20" customWidth="1"/>
    <col min="15108" max="15108" width="58.42578125" style="20" customWidth="1"/>
    <col min="15109" max="15109" width="28.85546875" style="20" customWidth="1"/>
    <col min="15110" max="15361" width="9.140625" style="20"/>
    <col min="15362" max="15362" width="26.7109375" style="20" customWidth="1"/>
    <col min="15363" max="15363" width="73.7109375" style="20" customWidth="1"/>
    <col min="15364" max="15364" width="58.42578125" style="20" customWidth="1"/>
    <col min="15365" max="15365" width="28.85546875" style="20" customWidth="1"/>
    <col min="15366" max="15617" width="9.140625" style="20"/>
    <col min="15618" max="15618" width="26.7109375" style="20" customWidth="1"/>
    <col min="15619" max="15619" width="73.7109375" style="20" customWidth="1"/>
    <col min="15620" max="15620" width="58.42578125" style="20" customWidth="1"/>
    <col min="15621" max="15621" width="28.85546875" style="20" customWidth="1"/>
    <col min="15622" max="15873" width="9.140625" style="20"/>
    <col min="15874" max="15874" width="26.7109375" style="20" customWidth="1"/>
    <col min="15875" max="15875" width="73.7109375" style="20" customWidth="1"/>
    <col min="15876" max="15876" width="58.42578125" style="20" customWidth="1"/>
    <col min="15877" max="15877" width="28.85546875" style="20" customWidth="1"/>
    <col min="15878" max="16129" width="9.140625" style="20"/>
    <col min="16130" max="16130" width="26.7109375" style="20" customWidth="1"/>
    <col min="16131" max="16131" width="73.7109375" style="20" customWidth="1"/>
    <col min="16132" max="16132" width="58.42578125" style="20" customWidth="1"/>
    <col min="16133" max="16133" width="28.85546875" style="20" customWidth="1"/>
    <col min="16134" max="16384" width="9.140625" style="20"/>
  </cols>
  <sheetData>
    <row r="3" spans="2:4" ht="15.75">
      <c r="B3" s="17" t="s">
        <v>332</v>
      </c>
      <c r="C3" s="18"/>
      <c r="D3" s="19"/>
    </row>
    <row r="4" spans="2:4">
      <c r="B4" s="21" t="s">
        <v>64</v>
      </c>
      <c r="C4" s="21" t="s">
        <v>65</v>
      </c>
      <c r="D4" s="21" t="s">
        <v>66</v>
      </c>
    </row>
    <row r="5" spans="2:4" ht="117.75" customHeight="1">
      <c r="B5" s="22" t="s">
        <v>67</v>
      </c>
      <c r="C5" s="14" t="s">
        <v>459</v>
      </c>
      <c r="D5" s="13" t="s">
        <v>779</v>
      </c>
    </row>
    <row r="6" spans="2:4" ht="102">
      <c r="B6" s="22" t="s">
        <v>68</v>
      </c>
      <c r="C6" s="15" t="s">
        <v>780</v>
      </c>
      <c r="D6" s="16" t="s">
        <v>111</v>
      </c>
    </row>
    <row r="7" spans="2:4" ht="38.25">
      <c r="B7" s="22" t="s">
        <v>75</v>
      </c>
      <c r="C7" s="25" t="s">
        <v>79</v>
      </c>
      <c r="D7" s="16" t="s">
        <v>101</v>
      </c>
    </row>
    <row r="8" spans="2:4" ht="63.75">
      <c r="B8" s="22" t="s">
        <v>69</v>
      </c>
      <c r="C8" s="16" t="s">
        <v>766</v>
      </c>
      <c r="D8" s="15" t="s">
        <v>695</v>
      </c>
    </row>
    <row r="9" spans="2:4" ht="25.5">
      <c r="B9" s="22" t="s">
        <v>78</v>
      </c>
      <c r="C9" s="16" t="s">
        <v>107</v>
      </c>
      <c r="D9" s="15"/>
    </row>
    <row r="10" spans="2:4" ht="25.5">
      <c r="B10" s="22" t="s">
        <v>70</v>
      </c>
      <c r="C10" s="15" t="s">
        <v>108</v>
      </c>
      <c r="D10" s="15"/>
    </row>
    <row r="11" spans="2:4">
      <c r="B11" s="22" t="s">
        <v>71</v>
      </c>
      <c r="C11" s="15" t="s">
        <v>754</v>
      </c>
      <c r="D11" s="15" t="s">
        <v>755</v>
      </c>
    </row>
    <row r="12" spans="2:4" ht="38.25">
      <c r="B12" s="22" t="s">
        <v>72</v>
      </c>
      <c r="C12" s="23" t="s">
        <v>109</v>
      </c>
      <c r="D12" s="15" t="s">
        <v>720</v>
      </c>
    </row>
    <row r="13" spans="2:4">
      <c r="B13" s="22" t="s">
        <v>73</v>
      </c>
      <c r="C13" s="15" t="s">
        <v>110</v>
      </c>
      <c r="D13" s="15"/>
    </row>
    <row r="14" spans="2:4">
      <c r="B14" s="22" t="s">
        <v>76</v>
      </c>
      <c r="C14" s="15"/>
      <c r="D14" s="15"/>
    </row>
    <row r="15" spans="2:4">
      <c r="B15" s="22" t="s">
        <v>74</v>
      </c>
      <c r="C15" s="15" t="str">
        <f>'Measure InputOutput'!G8</f>
        <v>C-All-HVAC-Vent-All-All-E</v>
      </c>
      <c r="D15" s="15"/>
    </row>
    <row r="16" spans="2:4">
      <c r="B16" s="22" t="s">
        <v>77</v>
      </c>
      <c r="C16" s="15" t="str">
        <f>'SC Retro'!D35</f>
        <v>Retro3Slow</v>
      </c>
      <c r="D16" s="15"/>
    </row>
    <row r="21" spans="3:4">
      <c r="C21" s="390" t="s">
        <v>788</v>
      </c>
    </row>
    <row r="22" spans="3:4">
      <c r="C22" s="390" t="s">
        <v>777</v>
      </c>
      <c r="D22" s="20" t="s">
        <v>776</v>
      </c>
    </row>
    <row r="23" spans="3:4">
      <c r="C23" s="390" t="s">
        <v>786</v>
      </c>
      <c r="D23" s="20" t="s">
        <v>787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2:J38"/>
  <sheetViews>
    <sheetView workbookViewId="0">
      <selection activeCell="G13" sqref="G13"/>
    </sheetView>
  </sheetViews>
  <sheetFormatPr defaultRowHeight="12.75"/>
  <cols>
    <col min="3" max="3" width="16.28515625" customWidth="1"/>
    <col min="5" max="5" width="12.85546875" customWidth="1"/>
    <col min="6" max="6" width="12.7109375" customWidth="1"/>
    <col min="8" max="9" width="9.28515625" bestFit="1" customWidth="1"/>
  </cols>
  <sheetData>
    <row r="2" spans="1:10">
      <c r="A2" t="s">
        <v>774</v>
      </c>
      <c r="D2" t="s">
        <v>775</v>
      </c>
    </row>
    <row r="3" spans="1:10" ht="38.25">
      <c r="C3" s="141" t="s">
        <v>1</v>
      </c>
      <c r="D3" s="141" t="s">
        <v>6</v>
      </c>
      <c r="E3" s="141" t="s">
        <v>7</v>
      </c>
      <c r="F3" s="141" t="s">
        <v>8</v>
      </c>
      <c r="G3" s="141" t="s">
        <v>17</v>
      </c>
      <c r="H3" s="141" t="s">
        <v>14</v>
      </c>
      <c r="I3" s="141" t="s">
        <v>15</v>
      </c>
    </row>
    <row r="4" spans="1:10">
      <c r="A4" s="371">
        <v>5</v>
      </c>
      <c r="B4" s="371">
        <v>2.5</v>
      </c>
      <c r="C4" s="372" t="s">
        <v>9</v>
      </c>
      <c r="D4" s="371">
        <v>1</v>
      </c>
      <c r="E4" s="373">
        <v>2200</v>
      </c>
      <c r="F4" s="371">
        <v>750</v>
      </c>
      <c r="G4" s="373">
        <f>E4+F4</f>
        <v>2950</v>
      </c>
      <c r="H4" s="374">
        <f>G4/D4</f>
        <v>2950</v>
      </c>
      <c r="I4" s="374">
        <f>G4/B4</f>
        <v>1180</v>
      </c>
      <c r="J4" t="s">
        <v>767</v>
      </c>
    </row>
    <row r="5" spans="1:10">
      <c r="A5">
        <v>10</v>
      </c>
      <c r="B5">
        <v>7.5</v>
      </c>
      <c r="C5" s="2" t="s">
        <v>10</v>
      </c>
      <c r="D5">
        <v>2</v>
      </c>
      <c r="E5" s="1">
        <v>2600</v>
      </c>
      <c r="F5">
        <v>750</v>
      </c>
      <c r="G5" s="1">
        <f t="shared" ref="G5:G8" si="0">E5+F5</f>
        <v>3350</v>
      </c>
      <c r="H5" s="5">
        <f t="shared" ref="H5:H8" si="1">G5/D5</f>
        <v>1675</v>
      </c>
      <c r="I5" s="5">
        <f t="shared" ref="I5:I8" si="2">G5/B5</f>
        <v>446.66666666666669</v>
      </c>
    </row>
    <row r="6" spans="1:10">
      <c r="A6">
        <v>15</v>
      </c>
      <c r="B6" s="1">
        <v>12.5</v>
      </c>
      <c r="C6" s="2" t="s">
        <v>11</v>
      </c>
      <c r="D6">
        <v>3</v>
      </c>
      <c r="E6" s="1">
        <v>3500</v>
      </c>
      <c r="F6">
        <v>750</v>
      </c>
      <c r="G6" s="1">
        <f t="shared" si="0"/>
        <v>4250</v>
      </c>
      <c r="H6" s="5">
        <f t="shared" si="1"/>
        <v>1416.6666666666667</v>
      </c>
      <c r="I6" s="5">
        <f t="shared" si="2"/>
        <v>340</v>
      </c>
    </row>
    <row r="7" spans="1:10">
      <c r="A7">
        <v>20</v>
      </c>
      <c r="B7">
        <v>17.5</v>
      </c>
      <c r="C7" s="2" t="s">
        <v>12</v>
      </c>
      <c r="D7">
        <v>5</v>
      </c>
      <c r="E7" s="1">
        <v>4000</v>
      </c>
      <c r="F7">
        <v>750</v>
      </c>
      <c r="G7" s="1">
        <f t="shared" si="0"/>
        <v>4750</v>
      </c>
      <c r="H7" s="5">
        <f t="shared" si="1"/>
        <v>950</v>
      </c>
      <c r="I7" s="5">
        <f t="shared" si="2"/>
        <v>271.42857142857144</v>
      </c>
    </row>
    <row r="8" spans="1:10">
      <c r="A8">
        <v>25</v>
      </c>
      <c r="B8">
        <v>22.5</v>
      </c>
      <c r="C8" s="2" t="s">
        <v>13</v>
      </c>
      <c r="D8">
        <v>7.5</v>
      </c>
      <c r="E8" s="1">
        <v>4142</v>
      </c>
      <c r="F8">
        <v>750</v>
      </c>
      <c r="G8" s="1">
        <f t="shared" si="0"/>
        <v>4892</v>
      </c>
      <c r="H8" s="5">
        <f t="shared" si="1"/>
        <v>652.26666666666665</v>
      </c>
      <c r="I8" s="5">
        <f t="shared" si="2"/>
        <v>217.42222222222222</v>
      </c>
    </row>
    <row r="11" spans="1:10">
      <c r="B11" s="2" t="s">
        <v>20</v>
      </c>
      <c r="C11" s="2" t="s">
        <v>16</v>
      </c>
    </row>
    <row r="12" spans="1:10">
      <c r="B12">
        <v>1</v>
      </c>
      <c r="C12" s="1">
        <f>$G$4</f>
        <v>2950</v>
      </c>
      <c r="F12" s="174" t="s">
        <v>352</v>
      </c>
      <c r="G12" s="174" t="s">
        <v>353</v>
      </c>
    </row>
    <row r="13" spans="1:10">
      <c r="B13">
        <f>B12+1</f>
        <v>2</v>
      </c>
      <c r="C13" s="1">
        <f t="shared" ref="C13:C16" si="3">$G$4</f>
        <v>2950</v>
      </c>
      <c r="F13" t="s">
        <v>169</v>
      </c>
      <c r="G13" s="1">
        <f>G5</f>
        <v>3350</v>
      </c>
    </row>
    <row r="14" spans="1:10">
      <c r="B14">
        <f t="shared" ref="B14:B38" si="4">B13+1</f>
        <v>3</v>
      </c>
      <c r="C14" s="1">
        <f t="shared" si="3"/>
        <v>2950</v>
      </c>
      <c r="F14" t="s">
        <v>171</v>
      </c>
      <c r="G14" s="1">
        <f>G6</f>
        <v>4250</v>
      </c>
    </row>
    <row r="15" spans="1:10">
      <c r="B15">
        <f t="shared" si="4"/>
        <v>4</v>
      </c>
      <c r="C15" s="1">
        <f t="shared" si="3"/>
        <v>2950</v>
      </c>
      <c r="F15" t="s">
        <v>170</v>
      </c>
      <c r="G15" s="1">
        <f>AVERAGE(G7:G8)</f>
        <v>4821</v>
      </c>
    </row>
    <row r="16" spans="1:10">
      <c r="B16">
        <f t="shared" si="4"/>
        <v>5</v>
      </c>
      <c r="C16" s="1">
        <f t="shared" si="3"/>
        <v>2950</v>
      </c>
    </row>
    <row r="17" spans="2:3">
      <c r="B17">
        <f t="shared" si="4"/>
        <v>6</v>
      </c>
      <c r="C17" s="1">
        <f>$G$5</f>
        <v>3350</v>
      </c>
    </row>
    <row r="18" spans="2:3">
      <c r="B18">
        <f t="shared" si="4"/>
        <v>7</v>
      </c>
      <c r="C18" s="1">
        <f t="shared" ref="C18:C21" si="5">$G$5</f>
        <v>3350</v>
      </c>
    </row>
    <row r="19" spans="2:3">
      <c r="B19">
        <f t="shared" si="4"/>
        <v>8</v>
      </c>
      <c r="C19" s="1">
        <f t="shared" si="5"/>
        <v>3350</v>
      </c>
    </row>
    <row r="20" spans="2:3">
      <c r="B20">
        <f t="shared" si="4"/>
        <v>9</v>
      </c>
      <c r="C20" s="1">
        <f t="shared" si="5"/>
        <v>3350</v>
      </c>
    </row>
    <row r="21" spans="2:3">
      <c r="B21">
        <f t="shared" si="4"/>
        <v>10</v>
      </c>
      <c r="C21" s="1">
        <f t="shared" si="5"/>
        <v>3350</v>
      </c>
    </row>
    <row r="22" spans="2:3">
      <c r="B22">
        <f t="shared" si="4"/>
        <v>11</v>
      </c>
      <c r="C22" s="1">
        <f>$G$6</f>
        <v>4250</v>
      </c>
    </row>
    <row r="23" spans="2:3">
      <c r="B23">
        <f t="shared" si="4"/>
        <v>12</v>
      </c>
      <c r="C23" s="1">
        <f t="shared" ref="C23:C26" si="6">$G$6</f>
        <v>4250</v>
      </c>
    </row>
    <row r="24" spans="2:3">
      <c r="B24">
        <f t="shared" si="4"/>
        <v>13</v>
      </c>
      <c r="C24" s="1">
        <f t="shared" si="6"/>
        <v>4250</v>
      </c>
    </row>
    <row r="25" spans="2:3">
      <c r="B25">
        <f t="shared" si="4"/>
        <v>14</v>
      </c>
      <c r="C25" s="1">
        <f t="shared" si="6"/>
        <v>4250</v>
      </c>
    </row>
    <row r="26" spans="2:3">
      <c r="B26">
        <f t="shared" si="4"/>
        <v>15</v>
      </c>
      <c r="C26" s="1">
        <f t="shared" si="6"/>
        <v>4250</v>
      </c>
    </row>
    <row r="27" spans="2:3">
      <c r="B27">
        <f t="shared" si="4"/>
        <v>16</v>
      </c>
      <c r="C27" s="1">
        <f>$G$7</f>
        <v>4750</v>
      </c>
    </row>
    <row r="28" spans="2:3">
      <c r="B28">
        <f t="shared" si="4"/>
        <v>17</v>
      </c>
      <c r="C28" s="1">
        <f t="shared" ref="C28:C31" si="7">$G$7</f>
        <v>4750</v>
      </c>
    </row>
    <row r="29" spans="2:3">
      <c r="B29">
        <f t="shared" si="4"/>
        <v>18</v>
      </c>
      <c r="C29" s="1">
        <f t="shared" si="7"/>
        <v>4750</v>
      </c>
    </row>
    <row r="30" spans="2:3">
      <c r="B30">
        <f t="shared" si="4"/>
        <v>19</v>
      </c>
      <c r="C30" s="1">
        <f t="shared" si="7"/>
        <v>4750</v>
      </c>
    </row>
    <row r="31" spans="2:3">
      <c r="B31">
        <f t="shared" si="4"/>
        <v>20</v>
      </c>
      <c r="C31" s="1">
        <f t="shared" si="7"/>
        <v>4750</v>
      </c>
    </row>
    <row r="32" spans="2:3">
      <c r="B32">
        <f t="shared" si="4"/>
        <v>21</v>
      </c>
      <c r="C32" s="1">
        <f>$G$8</f>
        <v>4892</v>
      </c>
    </row>
    <row r="33" spans="2:3">
      <c r="B33">
        <f t="shared" si="4"/>
        <v>22</v>
      </c>
      <c r="C33" s="1">
        <f t="shared" ref="C33:C36" si="8">$G$8</f>
        <v>4892</v>
      </c>
    </row>
    <row r="34" spans="2:3">
      <c r="B34">
        <f t="shared" si="4"/>
        <v>23</v>
      </c>
      <c r="C34" s="1">
        <f t="shared" si="8"/>
        <v>4892</v>
      </c>
    </row>
    <row r="35" spans="2:3">
      <c r="B35">
        <f t="shared" si="4"/>
        <v>24</v>
      </c>
      <c r="C35" s="1">
        <f t="shared" si="8"/>
        <v>4892</v>
      </c>
    </row>
    <row r="36" spans="2:3">
      <c r="B36">
        <f t="shared" si="4"/>
        <v>25</v>
      </c>
      <c r="C36" s="1">
        <f t="shared" si="8"/>
        <v>4892</v>
      </c>
    </row>
    <row r="38" spans="2:3">
      <c r="B38">
        <f t="shared" si="4"/>
        <v>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codeName="Sheet10"/>
  <dimension ref="E73:H78"/>
  <sheetViews>
    <sheetView workbookViewId="0">
      <selection activeCell="O76" sqref="O76"/>
    </sheetView>
  </sheetViews>
  <sheetFormatPr defaultRowHeight="12.75"/>
  <sheetData>
    <row r="73" spans="5:8">
      <c r="E73" s="8" t="s">
        <v>37</v>
      </c>
      <c r="F73">
        <v>515</v>
      </c>
      <c r="G73" t="s">
        <v>38</v>
      </c>
    </row>
    <row r="74" spans="5:8">
      <c r="E74" s="8" t="s">
        <v>42</v>
      </c>
      <c r="F74">
        <v>1</v>
      </c>
      <c r="G74" t="s">
        <v>39</v>
      </c>
      <c r="H74" t="s">
        <v>43</v>
      </c>
    </row>
    <row r="75" spans="5:8">
      <c r="E75" s="8" t="s">
        <v>40</v>
      </c>
      <c r="F75">
        <v>1.8</v>
      </c>
      <c r="G75" t="s">
        <v>39</v>
      </c>
      <c r="H75" t="s">
        <v>43</v>
      </c>
    </row>
    <row r="76" spans="5:8">
      <c r="E76" s="8" t="s">
        <v>41</v>
      </c>
      <c r="F76">
        <v>4.2</v>
      </c>
      <c r="G76" t="s">
        <v>39</v>
      </c>
      <c r="H76" t="s">
        <v>43</v>
      </c>
    </row>
    <row r="77" spans="5:8">
      <c r="E77" s="8" t="s">
        <v>44</v>
      </c>
      <c r="F77">
        <v>2.6</v>
      </c>
      <c r="G77" t="s">
        <v>39</v>
      </c>
      <c r="H77" t="s">
        <v>43</v>
      </c>
    </row>
    <row r="78" spans="5:8">
      <c r="E78" s="8" t="s">
        <v>45</v>
      </c>
      <c r="F78">
        <v>1.75</v>
      </c>
      <c r="G78" t="s">
        <v>39</v>
      </c>
      <c r="H78" t="s">
        <v>43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Sheet11"/>
  <dimension ref="A2:Z738"/>
  <sheetViews>
    <sheetView workbookViewId="0">
      <selection activeCell="U8" sqref="U8"/>
    </sheetView>
  </sheetViews>
  <sheetFormatPr defaultRowHeight="12.75"/>
  <cols>
    <col min="7" max="7" width="13.5703125" customWidth="1"/>
    <col min="8" max="8" width="14.42578125" customWidth="1"/>
    <col min="9" max="9" width="10.85546875" customWidth="1"/>
    <col min="13" max="13" width="13" customWidth="1"/>
    <col min="14" max="14" width="15.7109375" customWidth="1"/>
    <col min="15" max="15" width="13.140625" customWidth="1"/>
    <col min="16" max="16" width="15" customWidth="1"/>
    <col min="17" max="17" width="14.5703125" customWidth="1"/>
    <col min="20" max="20" width="9.140625" style="26"/>
  </cols>
  <sheetData>
    <row r="2" spans="1:26">
      <c r="C2" t="s">
        <v>95</v>
      </c>
    </row>
    <row r="4" spans="1:26">
      <c r="C4" t="s">
        <v>94</v>
      </c>
    </row>
    <row r="5" spans="1:26" ht="63.75">
      <c r="E5" s="3"/>
      <c r="F5" s="3" t="s">
        <v>0</v>
      </c>
      <c r="G5" s="3" t="s">
        <v>81</v>
      </c>
      <c r="H5" s="3" t="s">
        <v>82</v>
      </c>
      <c r="I5" s="3" t="s">
        <v>83</v>
      </c>
      <c r="J5" s="3" t="s">
        <v>84</v>
      </c>
      <c r="K5" s="3" t="s">
        <v>85</v>
      </c>
      <c r="L5" s="3" t="s">
        <v>86</v>
      </c>
      <c r="M5" s="3" t="s">
        <v>87</v>
      </c>
      <c r="N5" s="3" t="s">
        <v>88</v>
      </c>
      <c r="O5" s="3" t="s">
        <v>89</v>
      </c>
      <c r="P5" s="3" t="s">
        <v>90</v>
      </c>
      <c r="Q5" s="3" t="s">
        <v>91</v>
      </c>
      <c r="R5" s="3"/>
    </row>
    <row r="6" spans="1:26">
      <c r="F6">
        <v>1</v>
      </c>
      <c r="G6">
        <f>F6+1</f>
        <v>2</v>
      </c>
      <c r="H6">
        <f t="shared" ref="H6:N6" si="0">G6+1</f>
        <v>3</v>
      </c>
      <c r="I6">
        <f t="shared" si="0"/>
        <v>4</v>
      </c>
      <c r="J6">
        <f t="shared" si="0"/>
        <v>5</v>
      </c>
      <c r="K6">
        <f t="shared" si="0"/>
        <v>6</v>
      </c>
      <c r="L6">
        <f t="shared" si="0"/>
        <v>7</v>
      </c>
      <c r="M6">
        <f t="shared" si="0"/>
        <v>8</v>
      </c>
      <c r="N6">
        <f t="shared" si="0"/>
        <v>9</v>
      </c>
      <c r="O6">
        <f>N6+1</f>
        <v>10</v>
      </c>
      <c r="P6">
        <f t="shared" ref="P6:Q6" si="1">O6+1</f>
        <v>11</v>
      </c>
      <c r="Q6">
        <f t="shared" si="1"/>
        <v>12</v>
      </c>
      <c r="R6" s="10"/>
      <c r="Z6" t="s">
        <v>0</v>
      </c>
    </row>
    <row r="7" spans="1:26">
      <c r="A7">
        <v>1</v>
      </c>
      <c r="B7">
        <v>1</v>
      </c>
      <c r="C7">
        <v>1</v>
      </c>
      <c r="D7">
        <v>202</v>
      </c>
      <c r="E7">
        <v>0</v>
      </c>
      <c r="F7">
        <f>VLOOKUP(F$6,$C$7:$D$16,2,FALSE)</f>
        <v>202</v>
      </c>
      <c r="G7" t="str">
        <f t="shared" ref="G7:H7" si="2">VLOOKUP(G$6,$C$7:$D$16,2,FALSE)</f>
        <v>AC</v>
      </c>
      <c r="H7">
        <f t="shared" si="2"/>
        <v>10</v>
      </c>
      <c r="I7">
        <f t="shared" ref="I7:Q8" si="3">VLOOKUP(($E7+I$6),$C$7:$D$1000,2,FALSE)</f>
        <v>3.7</v>
      </c>
      <c r="J7">
        <f t="shared" si="3"/>
        <v>3204</v>
      </c>
      <c r="K7">
        <f t="shared" si="3"/>
        <v>8192</v>
      </c>
      <c r="L7">
        <f t="shared" si="3"/>
        <v>2.56</v>
      </c>
      <c r="M7">
        <f t="shared" si="3"/>
        <v>693</v>
      </c>
      <c r="N7">
        <f t="shared" si="3"/>
        <v>8259</v>
      </c>
      <c r="O7">
        <f t="shared" si="3"/>
        <v>2.58</v>
      </c>
      <c r="P7">
        <f t="shared" si="3"/>
        <v>699</v>
      </c>
      <c r="Q7">
        <f t="shared" si="3"/>
        <v>258</v>
      </c>
      <c r="R7" s="10"/>
      <c r="T7" s="27"/>
      <c r="Z7" t="s">
        <v>81</v>
      </c>
    </row>
    <row r="8" spans="1:26">
      <c r="A8">
        <v>1</v>
      </c>
      <c r="B8">
        <f>B7+1</f>
        <v>2</v>
      </c>
      <c r="C8">
        <f>C7+1</f>
        <v>2</v>
      </c>
      <c r="D8" t="s">
        <v>92</v>
      </c>
      <c r="E8">
        <f>E7+12</f>
        <v>12</v>
      </c>
      <c r="F8">
        <f>VLOOKUP($E8+F$6,$C$7:$D$26,2,FALSE)</f>
        <v>203</v>
      </c>
      <c r="G8" t="str">
        <f t="shared" ref="G8:H8" si="4">VLOOKUP($E8+G$6,$C$7:$D$26,2,FALSE)</f>
        <v>AC</v>
      </c>
      <c r="H8">
        <f t="shared" si="4"/>
        <v>10</v>
      </c>
      <c r="I8">
        <f t="shared" si="3"/>
        <v>2.2999999999999998</v>
      </c>
      <c r="J8">
        <f t="shared" si="3"/>
        <v>2777</v>
      </c>
      <c r="K8">
        <f t="shared" si="3"/>
        <v>4214</v>
      </c>
      <c r="L8">
        <f t="shared" si="3"/>
        <v>1.52</v>
      </c>
      <c r="M8">
        <f t="shared" si="3"/>
        <v>665</v>
      </c>
      <c r="N8">
        <f t="shared" si="3"/>
        <v>3562</v>
      </c>
      <c r="O8">
        <f t="shared" si="3"/>
        <v>1.28</v>
      </c>
      <c r="P8">
        <f t="shared" si="3"/>
        <v>562</v>
      </c>
      <c r="Q8">
        <f t="shared" si="3"/>
        <v>128</v>
      </c>
      <c r="R8" s="10"/>
      <c r="Z8" t="s">
        <v>82</v>
      </c>
    </row>
    <row r="9" spans="1:26">
      <c r="A9">
        <v>1</v>
      </c>
      <c r="B9">
        <f t="shared" ref="B9:C24" si="5">B8+1</f>
        <v>3</v>
      </c>
      <c r="C9">
        <f t="shared" si="5"/>
        <v>3</v>
      </c>
      <c r="D9">
        <v>10</v>
      </c>
      <c r="E9">
        <f t="shared" ref="E9:E72" si="6">E8+12</f>
        <v>24</v>
      </c>
      <c r="F9">
        <f>VLOOKUP(($E9+F$6),$C$7:$D$96,2,FALSE)</f>
        <v>204</v>
      </c>
      <c r="G9" t="str">
        <f t="shared" ref="G9:H10" si="7">VLOOKUP(($E9+G$6),$C$7:$D$96,2,FALSE)</f>
        <v>AC</v>
      </c>
      <c r="H9">
        <f t="shared" si="7"/>
        <v>10</v>
      </c>
      <c r="I9">
        <f t="shared" ref="G9:Q26" si="8">VLOOKUP(($E9+I$6),$C$7:$D$1000,2,FALSE)</f>
        <v>3.1</v>
      </c>
      <c r="J9">
        <f t="shared" si="8"/>
        <v>4075</v>
      </c>
      <c r="K9">
        <f t="shared" si="8"/>
        <v>8573</v>
      </c>
      <c r="L9">
        <f t="shared" si="8"/>
        <v>2.1</v>
      </c>
      <c r="M9">
        <f t="shared" si="8"/>
        <v>689</v>
      </c>
      <c r="N9">
        <f t="shared" si="8"/>
        <v>7782</v>
      </c>
      <c r="O9">
        <f t="shared" si="8"/>
        <v>1.91</v>
      </c>
      <c r="P9">
        <f t="shared" si="8"/>
        <v>625</v>
      </c>
      <c r="Q9">
        <f t="shared" si="8"/>
        <v>191</v>
      </c>
      <c r="R9" s="10"/>
      <c r="T9" s="28"/>
      <c r="Z9" t="s">
        <v>83</v>
      </c>
    </row>
    <row r="10" spans="1:26">
      <c r="A10">
        <v>1</v>
      </c>
      <c r="B10">
        <f t="shared" si="5"/>
        <v>4</v>
      </c>
      <c r="C10">
        <f t="shared" si="5"/>
        <v>4</v>
      </c>
      <c r="D10">
        <v>3.7</v>
      </c>
      <c r="E10">
        <f t="shared" si="6"/>
        <v>36</v>
      </c>
      <c r="F10">
        <f t="shared" ref="F10" si="9">VLOOKUP(($E10+F$6),$C$7:$D$96,2,FALSE)</f>
        <v>205</v>
      </c>
      <c r="G10" t="str">
        <f t="shared" si="7"/>
        <v>AC</v>
      </c>
      <c r="H10">
        <f t="shared" si="7"/>
        <v>15</v>
      </c>
      <c r="I10">
        <f t="shared" si="8"/>
        <v>2.4</v>
      </c>
      <c r="J10">
        <f t="shared" si="8"/>
        <v>3631</v>
      </c>
      <c r="K10">
        <f t="shared" si="8"/>
        <v>5805</v>
      </c>
      <c r="L10">
        <f t="shared" si="8"/>
        <v>1.6</v>
      </c>
      <c r="M10">
        <f t="shared" si="8"/>
        <v>679</v>
      </c>
      <c r="N10">
        <f t="shared" si="8"/>
        <v>5777</v>
      </c>
      <c r="O10">
        <f t="shared" si="8"/>
        <v>1.59</v>
      </c>
      <c r="P10">
        <f t="shared" si="8"/>
        <v>675</v>
      </c>
      <c r="Q10">
        <f t="shared" si="8"/>
        <v>106</v>
      </c>
      <c r="R10" s="10"/>
      <c r="Z10" t="s">
        <v>84</v>
      </c>
    </row>
    <row r="11" spans="1:26">
      <c r="A11">
        <v>1</v>
      </c>
      <c r="B11">
        <f t="shared" si="5"/>
        <v>5</v>
      </c>
      <c r="C11">
        <f t="shared" si="5"/>
        <v>5</v>
      </c>
      <c r="D11">
        <v>3204</v>
      </c>
      <c r="E11">
        <f t="shared" si="6"/>
        <v>48</v>
      </c>
      <c r="F11">
        <f>VLOOKUP(($E11+F$6),$C$7:$D$1000,2,FALSE)</f>
        <v>206</v>
      </c>
      <c r="G11" t="str">
        <f t="shared" si="8"/>
        <v>AC</v>
      </c>
      <c r="H11">
        <f t="shared" si="8"/>
        <v>10</v>
      </c>
      <c r="I11">
        <f t="shared" si="8"/>
        <v>2.8</v>
      </c>
      <c r="J11">
        <f t="shared" si="8"/>
        <v>2588</v>
      </c>
      <c r="K11">
        <f t="shared" si="8"/>
        <v>5139</v>
      </c>
      <c r="L11">
        <f t="shared" si="8"/>
        <v>1.99</v>
      </c>
      <c r="M11">
        <f t="shared" si="8"/>
        <v>702</v>
      </c>
      <c r="N11">
        <f t="shared" si="8"/>
        <v>4951</v>
      </c>
      <c r="O11">
        <f t="shared" si="8"/>
        <v>1.91</v>
      </c>
      <c r="P11">
        <f t="shared" si="8"/>
        <v>676</v>
      </c>
      <c r="Q11">
        <f t="shared" si="8"/>
        <v>191</v>
      </c>
      <c r="R11" s="10"/>
      <c r="T11" s="29"/>
      <c r="Z11" t="s">
        <v>85</v>
      </c>
    </row>
    <row r="12" spans="1:26">
      <c r="A12">
        <v>1</v>
      </c>
      <c r="B12">
        <f t="shared" si="5"/>
        <v>6</v>
      </c>
      <c r="C12">
        <f t="shared" si="5"/>
        <v>6</v>
      </c>
      <c r="D12">
        <v>8192</v>
      </c>
      <c r="E12">
        <f t="shared" si="6"/>
        <v>60</v>
      </c>
      <c r="F12">
        <f t="shared" ref="F12:Q43" si="10">VLOOKUP(($E12+F$6),$C$7:$D$1000,2,FALSE)</f>
        <v>207</v>
      </c>
      <c r="G12" t="str">
        <f t="shared" si="8"/>
        <v>AC</v>
      </c>
      <c r="H12">
        <f t="shared" si="8"/>
        <v>25</v>
      </c>
      <c r="I12">
        <f t="shared" si="8"/>
        <v>8.9</v>
      </c>
      <c r="J12">
        <f t="shared" si="8"/>
        <v>1170</v>
      </c>
      <c r="K12">
        <f t="shared" si="8"/>
        <v>6099</v>
      </c>
      <c r="L12">
        <f t="shared" si="8"/>
        <v>5.21</v>
      </c>
      <c r="M12">
        <f t="shared" si="8"/>
        <v>588</v>
      </c>
      <c r="N12">
        <f t="shared" si="8"/>
        <v>8059</v>
      </c>
      <c r="O12">
        <f t="shared" si="8"/>
        <v>6.89</v>
      </c>
      <c r="P12">
        <f t="shared" si="8"/>
        <v>777</v>
      </c>
      <c r="Q12">
        <f t="shared" si="8"/>
        <v>276</v>
      </c>
      <c r="R12" s="10"/>
      <c r="T12" s="29"/>
      <c r="Z12" t="s">
        <v>86</v>
      </c>
    </row>
    <row r="13" spans="1:26">
      <c r="A13">
        <v>1</v>
      </c>
      <c r="B13">
        <f t="shared" si="5"/>
        <v>7</v>
      </c>
      <c r="C13">
        <f t="shared" si="5"/>
        <v>7</v>
      </c>
      <c r="D13">
        <v>2.56</v>
      </c>
      <c r="E13">
        <f t="shared" si="6"/>
        <v>72</v>
      </c>
      <c r="F13">
        <f t="shared" si="10"/>
        <v>209</v>
      </c>
      <c r="G13" t="str">
        <f t="shared" si="8"/>
        <v>AC</v>
      </c>
      <c r="H13">
        <f t="shared" si="8"/>
        <v>5</v>
      </c>
      <c r="I13">
        <f t="shared" si="8"/>
        <v>0.9</v>
      </c>
      <c r="J13">
        <f t="shared" si="8"/>
        <v>3377</v>
      </c>
      <c r="K13">
        <f t="shared" si="8"/>
        <v>1067</v>
      </c>
      <c r="L13">
        <f t="shared" si="8"/>
        <v>0.32</v>
      </c>
      <c r="M13">
        <f t="shared" si="8"/>
        <v>338</v>
      </c>
      <c r="N13">
        <f t="shared" si="8"/>
        <v>3443</v>
      </c>
      <c r="O13">
        <f t="shared" si="8"/>
        <v>1.02</v>
      </c>
      <c r="P13">
        <f t="shared" si="8"/>
        <v>1092</v>
      </c>
      <c r="Q13">
        <f t="shared" si="8"/>
        <v>204</v>
      </c>
      <c r="R13" s="10"/>
      <c r="Z13" t="s">
        <v>87</v>
      </c>
    </row>
    <row r="14" spans="1:26">
      <c r="A14">
        <v>1</v>
      </c>
      <c r="B14">
        <f t="shared" si="5"/>
        <v>8</v>
      </c>
      <c r="C14">
        <f t="shared" si="5"/>
        <v>8</v>
      </c>
      <c r="D14">
        <v>693</v>
      </c>
      <c r="E14">
        <f t="shared" si="6"/>
        <v>84</v>
      </c>
      <c r="F14">
        <f t="shared" si="10"/>
        <v>210</v>
      </c>
      <c r="G14" t="str">
        <f t="shared" si="8"/>
        <v>AC</v>
      </c>
      <c r="H14">
        <f t="shared" si="8"/>
        <v>25</v>
      </c>
      <c r="I14">
        <f t="shared" si="8"/>
        <v>11.3</v>
      </c>
      <c r="J14">
        <f t="shared" si="8"/>
        <v>2109</v>
      </c>
      <c r="K14">
        <f t="shared" si="8"/>
        <v>14005</v>
      </c>
      <c r="L14">
        <f t="shared" si="8"/>
        <v>6.64</v>
      </c>
      <c r="M14">
        <f t="shared" si="8"/>
        <v>589</v>
      </c>
      <c r="N14">
        <f t="shared" si="8"/>
        <v>13201</v>
      </c>
      <c r="O14">
        <f t="shared" si="8"/>
        <v>6.26</v>
      </c>
      <c r="P14">
        <f t="shared" si="8"/>
        <v>555</v>
      </c>
      <c r="Q14">
        <f t="shared" si="8"/>
        <v>250</v>
      </c>
      <c r="R14" s="10"/>
      <c r="T14" s="27"/>
      <c r="Z14" t="s">
        <v>88</v>
      </c>
    </row>
    <row r="15" spans="1:26">
      <c r="A15">
        <v>1</v>
      </c>
      <c r="B15">
        <f t="shared" si="5"/>
        <v>9</v>
      </c>
      <c r="C15">
        <f t="shared" si="5"/>
        <v>9</v>
      </c>
      <c r="D15">
        <v>8259</v>
      </c>
      <c r="E15">
        <f t="shared" si="6"/>
        <v>96</v>
      </c>
      <c r="F15">
        <f t="shared" si="10"/>
        <v>212</v>
      </c>
      <c r="G15" t="str">
        <f t="shared" si="8"/>
        <v>AC</v>
      </c>
      <c r="H15">
        <f t="shared" si="8"/>
        <v>25</v>
      </c>
      <c r="I15">
        <f t="shared" si="8"/>
        <v>9.4</v>
      </c>
      <c r="J15">
        <f t="shared" si="8"/>
        <v>3605</v>
      </c>
      <c r="K15">
        <f t="shared" si="8"/>
        <v>15242</v>
      </c>
      <c r="L15">
        <f t="shared" si="8"/>
        <v>4.2300000000000004</v>
      </c>
      <c r="M15">
        <f t="shared" si="8"/>
        <v>448</v>
      </c>
      <c r="N15">
        <f t="shared" si="8"/>
        <v>27690</v>
      </c>
      <c r="O15">
        <f t="shared" si="8"/>
        <v>7.68</v>
      </c>
      <c r="P15">
        <f t="shared" si="8"/>
        <v>814</v>
      </c>
      <c r="Q15">
        <f t="shared" si="8"/>
        <v>307</v>
      </c>
      <c r="R15" s="10"/>
      <c r="Z15" t="s">
        <v>89</v>
      </c>
    </row>
    <row r="16" spans="1:26">
      <c r="A16">
        <v>1</v>
      </c>
      <c r="B16">
        <f t="shared" si="5"/>
        <v>10</v>
      </c>
      <c r="C16">
        <f t="shared" si="5"/>
        <v>10</v>
      </c>
      <c r="D16">
        <v>2.58</v>
      </c>
      <c r="E16">
        <f t="shared" si="6"/>
        <v>108</v>
      </c>
      <c r="F16">
        <f t="shared" si="10"/>
        <v>213</v>
      </c>
      <c r="G16" t="str">
        <f t="shared" si="8"/>
        <v>AC</v>
      </c>
      <c r="H16">
        <f t="shared" si="8"/>
        <v>15</v>
      </c>
      <c r="I16">
        <f t="shared" si="8"/>
        <v>3.8</v>
      </c>
      <c r="J16">
        <f t="shared" si="8"/>
        <v>3522</v>
      </c>
      <c r="K16">
        <f t="shared" si="8"/>
        <v>9191</v>
      </c>
      <c r="L16">
        <f t="shared" si="8"/>
        <v>2.61</v>
      </c>
      <c r="M16">
        <f t="shared" si="8"/>
        <v>686</v>
      </c>
      <c r="N16">
        <f t="shared" si="8"/>
        <v>9726</v>
      </c>
      <c r="O16">
        <f t="shared" si="8"/>
        <v>2.76</v>
      </c>
      <c r="P16">
        <f t="shared" si="8"/>
        <v>726</v>
      </c>
      <c r="Q16">
        <f t="shared" si="8"/>
        <v>184</v>
      </c>
      <c r="R16" s="10"/>
      <c r="Z16" t="s">
        <v>90</v>
      </c>
    </row>
    <row r="17" spans="1:26">
      <c r="A17">
        <f>A7+1</f>
        <v>2</v>
      </c>
      <c r="B17">
        <f>B7</f>
        <v>1</v>
      </c>
      <c r="C17">
        <f t="shared" si="5"/>
        <v>11</v>
      </c>
      <c r="D17">
        <v>699</v>
      </c>
      <c r="E17">
        <f t="shared" si="6"/>
        <v>120</v>
      </c>
      <c r="F17">
        <f t="shared" si="10"/>
        <v>214</v>
      </c>
      <c r="G17" t="str">
        <f t="shared" si="8"/>
        <v>AC</v>
      </c>
      <c r="H17">
        <f t="shared" si="8"/>
        <v>10</v>
      </c>
      <c r="I17">
        <f t="shared" si="8"/>
        <v>1.6</v>
      </c>
      <c r="J17">
        <f t="shared" si="8"/>
        <v>2827</v>
      </c>
      <c r="K17">
        <f t="shared" si="8"/>
        <v>2627</v>
      </c>
      <c r="L17">
        <f t="shared" si="8"/>
        <v>0.93</v>
      </c>
      <c r="M17">
        <f t="shared" si="8"/>
        <v>592</v>
      </c>
      <c r="N17">
        <f t="shared" si="8"/>
        <v>5079</v>
      </c>
      <c r="O17">
        <f t="shared" si="8"/>
        <v>1.8</v>
      </c>
      <c r="P17">
        <f t="shared" si="8"/>
        <v>1145</v>
      </c>
      <c r="Q17">
        <f t="shared" si="8"/>
        <v>180</v>
      </c>
      <c r="R17" s="10"/>
      <c r="Z17" t="s">
        <v>91</v>
      </c>
    </row>
    <row r="18" spans="1:26">
      <c r="A18">
        <f t="shared" ref="A18:A81" si="11">A8+1</f>
        <v>2</v>
      </c>
      <c r="B18">
        <f t="shared" ref="B18:B81" si="12">B8</f>
        <v>2</v>
      </c>
      <c r="C18">
        <f t="shared" si="5"/>
        <v>12</v>
      </c>
      <c r="D18">
        <v>258</v>
      </c>
      <c r="E18">
        <f t="shared" si="6"/>
        <v>132</v>
      </c>
      <c r="F18">
        <f t="shared" si="10"/>
        <v>215</v>
      </c>
      <c r="G18" t="str">
        <f t="shared" si="8"/>
        <v>AC</v>
      </c>
      <c r="H18">
        <f t="shared" si="8"/>
        <v>10</v>
      </c>
      <c r="I18">
        <f t="shared" si="8"/>
        <v>2.5</v>
      </c>
      <c r="J18">
        <f t="shared" si="8"/>
        <v>3406</v>
      </c>
      <c r="K18">
        <f t="shared" si="8"/>
        <v>5578</v>
      </c>
      <c r="L18">
        <f t="shared" si="8"/>
        <v>1.64</v>
      </c>
      <c r="M18">
        <f t="shared" si="8"/>
        <v>665</v>
      </c>
      <c r="N18">
        <f t="shared" si="8"/>
        <v>5526</v>
      </c>
      <c r="O18">
        <f t="shared" si="8"/>
        <v>1.62</v>
      </c>
      <c r="P18">
        <f t="shared" si="8"/>
        <v>658</v>
      </c>
      <c r="Q18">
        <f t="shared" si="8"/>
        <v>162</v>
      </c>
      <c r="R18" s="10"/>
      <c r="Z18">
        <v>202</v>
      </c>
    </row>
    <row r="19" spans="1:26">
      <c r="A19">
        <f t="shared" si="11"/>
        <v>2</v>
      </c>
      <c r="B19">
        <f t="shared" si="12"/>
        <v>3</v>
      </c>
      <c r="C19">
        <f t="shared" si="5"/>
        <v>13</v>
      </c>
      <c r="D19">
        <v>203</v>
      </c>
      <c r="E19">
        <f t="shared" si="6"/>
        <v>144</v>
      </c>
      <c r="F19">
        <f t="shared" si="10"/>
        <v>217</v>
      </c>
      <c r="G19" t="str">
        <f t="shared" si="8"/>
        <v>AC</v>
      </c>
      <c r="H19">
        <f t="shared" si="8"/>
        <v>10</v>
      </c>
      <c r="I19">
        <f t="shared" si="8"/>
        <v>2.6</v>
      </c>
      <c r="J19">
        <f t="shared" si="8"/>
        <v>3714</v>
      </c>
      <c r="K19">
        <f t="shared" si="8"/>
        <v>5835</v>
      </c>
      <c r="L19">
        <f t="shared" si="8"/>
        <v>1.57</v>
      </c>
      <c r="M19">
        <f t="shared" si="8"/>
        <v>613</v>
      </c>
      <c r="N19">
        <f t="shared" si="8"/>
        <v>5916</v>
      </c>
      <c r="O19">
        <f t="shared" si="8"/>
        <v>1.59</v>
      </c>
      <c r="P19">
        <f t="shared" si="8"/>
        <v>622</v>
      </c>
      <c r="Q19">
        <f t="shared" si="8"/>
        <v>159</v>
      </c>
      <c r="R19" s="10"/>
      <c r="Z19" t="s">
        <v>92</v>
      </c>
    </row>
    <row r="20" spans="1:26">
      <c r="A20">
        <f t="shared" si="11"/>
        <v>2</v>
      </c>
      <c r="B20">
        <f t="shared" si="12"/>
        <v>4</v>
      </c>
      <c r="C20">
        <f t="shared" si="5"/>
        <v>14</v>
      </c>
      <c r="D20" t="s">
        <v>92</v>
      </c>
      <c r="E20">
        <f t="shared" si="6"/>
        <v>156</v>
      </c>
      <c r="F20">
        <f t="shared" si="10"/>
        <v>218</v>
      </c>
      <c r="G20" t="str">
        <f t="shared" si="8"/>
        <v>AC</v>
      </c>
      <c r="H20">
        <f t="shared" si="8"/>
        <v>10</v>
      </c>
      <c r="I20">
        <f t="shared" si="8"/>
        <v>2.9</v>
      </c>
      <c r="J20">
        <f t="shared" si="8"/>
        <v>3601</v>
      </c>
      <c r="K20">
        <f t="shared" si="8"/>
        <v>5333</v>
      </c>
      <c r="L20">
        <f t="shared" si="8"/>
        <v>1.48</v>
      </c>
      <c r="M20">
        <f t="shared" si="8"/>
        <v>508</v>
      </c>
      <c r="N20">
        <f t="shared" si="8"/>
        <v>6826</v>
      </c>
      <c r="O20">
        <f t="shared" si="8"/>
        <v>1.9</v>
      </c>
      <c r="P20">
        <f t="shared" si="8"/>
        <v>650</v>
      </c>
      <c r="Q20">
        <f t="shared" si="8"/>
        <v>190</v>
      </c>
      <c r="R20" s="10"/>
      <c r="Z20">
        <v>10</v>
      </c>
    </row>
    <row r="21" spans="1:26">
      <c r="A21">
        <f t="shared" si="11"/>
        <v>2</v>
      </c>
      <c r="B21">
        <f t="shared" si="12"/>
        <v>5</v>
      </c>
      <c r="C21">
        <f t="shared" si="5"/>
        <v>15</v>
      </c>
      <c r="D21">
        <v>10</v>
      </c>
      <c r="E21">
        <f t="shared" si="6"/>
        <v>168</v>
      </c>
      <c r="F21">
        <f t="shared" si="10"/>
        <v>219</v>
      </c>
      <c r="G21" t="str">
        <f t="shared" si="8"/>
        <v>AC</v>
      </c>
      <c r="H21">
        <f t="shared" si="8"/>
        <v>15</v>
      </c>
      <c r="I21">
        <f t="shared" si="8"/>
        <v>1.7</v>
      </c>
      <c r="J21">
        <f t="shared" si="8"/>
        <v>871</v>
      </c>
      <c r="K21">
        <f t="shared" si="8"/>
        <v>686</v>
      </c>
      <c r="L21">
        <f t="shared" si="8"/>
        <v>0.79</v>
      </c>
      <c r="M21">
        <f t="shared" si="8"/>
        <v>458</v>
      </c>
      <c r="N21">
        <f t="shared" si="8"/>
        <v>306</v>
      </c>
      <c r="O21">
        <f t="shared" si="8"/>
        <v>0.35</v>
      </c>
      <c r="P21">
        <f t="shared" si="8"/>
        <v>205</v>
      </c>
      <c r="Q21">
        <f t="shared" si="8"/>
        <v>23</v>
      </c>
      <c r="R21" s="10"/>
      <c r="Z21">
        <v>3.7</v>
      </c>
    </row>
    <row r="22" spans="1:26">
      <c r="A22">
        <f t="shared" si="11"/>
        <v>2</v>
      </c>
      <c r="B22">
        <f t="shared" si="12"/>
        <v>6</v>
      </c>
      <c r="C22">
        <f t="shared" si="5"/>
        <v>16</v>
      </c>
      <c r="D22">
        <v>2.2999999999999998</v>
      </c>
      <c r="E22">
        <f t="shared" si="6"/>
        <v>180</v>
      </c>
      <c r="F22">
        <f t="shared" si="10"/>
        <v>220</v>
      </c>
      <c r="G22" t="str">
        <f t="shared" si="8"/>
        <v>AC</v>
      </c>
      <c r="H22">
        <f t="shared" si="8"/>
        <v>15</v>
      </c>
      <c r="I22">
        <f t="shared" si="8"/>
        <v>1.4</v>
      </c>
      <c r="J22">
        <f t="shared" si="8"/>
        <v>3474</v>
      </c>
      <c r="K22">
        <f t="shared" si="8"/>
        <v>2597</v>
      </c>
      <c r="L22">
        <f t="shared" si="8"/>
        <v>0.75</v>
      </c>
      <c r="M22">
        <f t="shared" si="8"/>
        <v>545</v>
      </c>
      <c r="N22">
        <f t="shared" si="8"/>
        <v>5150</v>
      </c>
      <c r="O22">
        <f t="shared" si="8"/>
        <v>1.48</v>
      </c>
      <c r="P22">
        <f t="shared" si="8"/>
        <v>1081</v>
      </c>
      <c r="Q22">
        <f t="shared" si="8"/>
        <v>99</v>
      </c>
      <c r="R22" s="10"/>
      <c r="Z22">
        <v>3204</v>
      </c>
    </row>
    <row r="23" spans="1:26">
      <c r="A23">
        <f t="shared" si="11"/>
        <v>2</v>
      </c>
      <c r="B23">
        <f t="shared" si="12"/>
        <v>7</v>
      </c>
      <c r="C23">
        <f t="shared" si="5"/>
        <v>17</v>
      </c>
      <c r="D23">
        <v>2777</v>
      </c>
      <c r="E23">
        <f t="shared" si="6"/>
        <v>192</v>
      </c>
      <c r="F23">
        <f t="shared" si="10"/>
        <v>221</v>
      </c>
      <c r="G23" t="str">
        <f t="shared" si="8"/>
        <v>AC</v>
      </c>
      <c r="H23">
        <f t="shared" si="8"/>
        <v>10</v>
      </c>
      <c r="I23">
        <f t="shared" si="8"/>
        <v>2</v>
      </c>
      <c r="J23">
        <f t="shared" si="8"/>
        <v>3195</v>
      </c>
      <c r="K23">
        <f t="shared" si="8"/>
        <v>4280</v>
      </c>
      <c r="L23">
        <f t="shared" si="8"/>
        <v>1.34</v>
      </c>
      <c r="M23">
        <f t="shared" si="8"/>
        <v>677</v>
      </c>
      <c r="N23">
        <f t="shared" si="8"/>
        <v>4151</v>
      </c>
      <c r="O23">
        <f t="shared" si="8"/>
        <v>1.3</v>
      </c>
      <c r="P23">
        <f t="shared" si="8"/>
        <v>656</v>
      </c>
      <c r="Q23">
        <f t="shared" si="8"/>
        <v>130</v>
      </c>
      <c r="R23" s="10"/>
      <c r="Z23">
        <v>8192</v>
      </c>
    </row>
    <row r="24" spans="1:26">
      <c r="A24">
        <f t="shared" si="11"/>
        <v>2</v>
      </c>
      <c r="B24">
        <f t="shared" si="12"/>
        <v>8</v>
      </c>
      <c r="C24">
        <f t="shared" si="5"/>
        <v>18</v>
      </c>
      <c r="D24">
        <v>4214</v>
      </c>
      <c r="E24">
        <f t="shared" si="6"/>
        <v>204</v>
      </c>
      <c r="F24">
        <f t="shared" si="10"/>
        <v>222</v>
      </c>
      <c r="G24" t="str">
        <f t="shared" si="8"/>
        <v>AC</v>
      </c>
      <c r="H24">
        <f t="shared" si="8"/>
        <v>15</v>
      </c>
      <c r="I24">
        <f t="shared" si="8"/>
        <v>1.9</v>
      </c>
      <c r="J24">
        <f t="shared" si="8"/>
        <v>3760</v>
      </c>
      <c r="K24">
        <f t="shared" si="8"/>
        <v>4730</v>
      </c>
      <c r="L24">
        <f t="shared" si="8"/>
        <v>1.26</v>
      </c>
      <c r="M24">
        <f t="shared" si="8"/>
        <v>680</v>
      </c>
      <c r="N24">
        <f t="shared" si="8"/>
        <v>5775</v>
      </c>
      <c r="O24">
        <f t="shared" si="8"/>
        <v>1.54</v>
      </c>
      <c r="P24">
        <f t="shared" si="8"/>
        <v>830</v>
      </c>
      <c r="Q24">
        <f t="shared" si="8"/>
        <v>102</v>
      </c>
      <c r="R24" s="10"/>
      <c r="Z24">
        <v>2.56</v>
      </c>
    </row>
    <row r="25" spans="1:26">
      <c r="A25">
        <f t="shared" si="11"/>
        <v>2</v>
      </c>
      <c r="B25">
        <f t="shared" si="12"/>
        <v>9</v>
      </c>
      <c r="C25">
        <f t="shared" ref="C25:C88" si="13">C24+1</f>
        <v>19</v>
      </c>
      <c r="D25">
        <v>1.52</v>
      </c>
      <c r="E25">
        <f t="shared" si="6"/>
        <v>216</v>
      </c>
      <c r="F25">
        <f t="shared" si="10"/>
        <v>223</v>
      </c>
      <c r="G25" t="str">
        <f t="shared" si="8"/>
        <v>AC</v>
      </c>
      <c r="H25">
        <f t="shared" si="8"/>
        <v>15</v>
      </c>
      <c r="I25">
        <f t="shared" si="8"/>
        <v>2.4</v>
      </c>
      <c r="J25">
        <f t="shared" si="8"/>
        <v>3019</v>
      </c>
      <c r="K25">
        <f t="shared" si="8"/>
        <v>4393</v>
      </c>
      <c r="L25">
        <f t="shared" si="8"/>
        <v>1.46</v>
      </c>
      <c r="M25">
        <f t="shared" si="8"/>
        <v>597</v>
      </c>
      <c r="N25">
        <f t="shared" si="8"/>
        <v>6620</v>
      </c>
      <c r="O25">
        <f t="shared" si="8"/>
        <v>2.19</v>
      </c>
      <c r="P25">
        <f t="shared" si="8"/>
        <v>899</v>
      </c>
      <c r="Q25">
        <f t="shared" si="8"/>
        <v>146</v>
      </c>
      <c r="R25" s="10"/>
      <c r="Z25">
        <v>693</v>
      </c>
    </row>
    <row r="26" spans="1:26">
      <c r="A26">
        <f t="shared" si="11"/>
        <v>2</v>
      </c>
      <c r="B26">
        <f t="shared" si="12"/>
        <v>10</v>
      </c>
      <c r="C26">
        <f t="shared" si="13"/>
        <v>20</v>
      </c>
      <c r="D26">
        <v>665</v>
      </c>
      <c r="E26">
        <f t="shared" si="6"/>
        <v>228</v>
      </c>
      <c r="F26">
        <f t="shared" si="10"/>
        <v>224</v>
      </c>
      <c r="G26" t="str">
        <f t="shared" si="8"/>
        <v>AC</v>
      </c>
      <c r="H26">
        <f t="shared" si="8"/>
        <v>10</v>
      </c>
      <c r="I26">
        <f t="shared" si="8"/>
        <v>1.7</v>
      </c>
      <c r="J26">
        <f t="shared" si="8"/>
        <v>3276</v>
      </c>
      <c r="K26">
        <f t="shared" si="8"/>
        <v>3345</v>
      </c>
      <c r="L26">
        <f t="shared" si="8"/>
        <v>1.02</v>
      </c>
      <c r="M26">
        <f t="shared" si="8"/>
        <v>601</v>
      </c>
      <c r="N26">
        <f t="shared" si="8"/>
        <v>7241</v>
      </c>
      <c r="O26">
        <f t="shared" si="8"/>
        <v>2.21</v>
      </c>
      <c r="P26">
        <f t="shared" si="8"/>
        <v>1300</v>
      </c>
      <c r="Q26">
        <f t="shared" si="8"/>
        <v>221</v>
      </c>
      <c r="R26" s="10"/>
      <c r="Z26">
        <v>8259</v>
      </c>
    </row>
    <row r="27" spans="1:26">
      <c r="A27">
        <f t="shared" si="11"/>
        <v>3</v>
      </c>
      <c r="B27">
        <f t="shared" si="12"/>
        <v>1</v>
      </c>
      <c r="C27">
        <f t="shared" si="13"/>
        <v>21</v>
      </c>
      <c r="D27">
        <v>3562</v>
      </c>
      <c r="E27">
        <f t="shared" si="6"/>
        <v>240</v>
      </c>
      <c r="F27">
        <f t="shared" si="10"/>
        <v>225</v>
      </c>
      <c r="G27" t="str">
        <f t="shared" si="10"/>
        <v>AC</v>
      </c>
      <c r="H27">
        <f t="shared" si="10"/>
        <v>10</v>
      </c>
      <c r="I27">
        <f t="shared" si="10"/>
        <v>2</v>
      </c>
      <c r="J27">
        <f t="shared" si="10"/>
        <v>2429</v>
      </c>
      <c r="K27">
        <f t="shared" si="10"/>
        <v>3195</v>
      </c>
      <c r="L27">
        <f t="shared" si="10"/>
        <v>1.32</v>
      </c>
      <c r="M27">
        <f t="shared" si="10"/>
        <v>673</v>
      </c>
      <c r="N27">
        <f t="shared" si="10"/>
        <v>3233</v>
      </c>
      <c r="O27">
        <f t="shared" si="10"/>
        <v>1.33</v>
      </c>
      <c r="P27">
        <f t="shared" si="10"/>
        <v>681</v>
      </c>
      <c r="Q27">
        <f t="shared" si="10"/>
        <v>133</v>
      </c>
      <c r="R27" s="10"/>
      <c r="Z27">
        <v>2.58</v>
      </c>
    </row>
    <row r="28" spans="1:26">
      <c r="A28">
        <f t="shared" si="11"/>
        <v>3</v>
      </c>
      <c r="B28">
        <f t="shared" si="12"/>
        <v>2</v>
      </c>
      <c r="C28">
        <f t="shared" si="13"/>
        <v>22</v>
      </c>
      <c r="D28">
        <v>1.28</v>
      </c>
      <c r="E28">
        <f t="shared" si="6"/>
        <v>252</v>
      </c>
      <c r="F28">
        <f t="shared" si="10"/>
        <v>226</v>
      </c>
      <c r="G28" t="str">
        <f t="shared" si="10"/>
        <v>AC</v>
      </c>
      <c r="H28">
        <f t="shared" si="10"/>
        <v>12.5</v>
      </c>
      <c r="I28">
        <f t="shared" si="10"/>
        <v>3.4</v>
      </c>
      <c r="J28">
        <f t="shared" si="10"/>
        <v>3329</v>
      </c>
      <c r="K28">
        <f t="shared" si="10"/>
        <v>5933</v>
      </c>
      <c r="L28">
        <f t="shared" si="10"/>
        <v>1.78</v>
      </c>
      <c r="M28">
        <f t="shared" si="10"/>
        <v>526</v>
      </c>
      <c r="N28">
        <f t="shared" si="10"/>
        <v>9218</v>
      </c>
      <c r="O28">
        <f t="shared" si="10"/>
        <v>2.77</v>
      </c>
      <c r="P28">
        <f t="shared" si="10"/>
        <v>818</v>
      </c>
      <c r="Q28">
        <f t="shared" si="10"/>
        <v>222</v>
      </c>
      <c r="R28" s="10"/>
      <c r="Z28">
        <v>699</v>
      </c>
    </row>
    <row r="29" spans="1:26">
      <c r="A29">
        <f t="shared" si="11"/>
        <v>3</v>
      </c>
      <c r="B29">
        <f t="shared" si="12"/>
        <v>3</v>
      </c>
      <c r="C29">
        <f t="shared" si="13"/>
        <v>23</v>
      </c>
      <c r="D29">
        <v>562</v>
      </c>
      <c r="E29">
        <f t="shared" si="6"/>
        <v>264</v>
      </c>
      <c r="F29">
        <f t="shared" si="10"/>
        <v>228</v>
      </c>
      <c r="G29" t="str">
        <f t="shared" si="10"/>
        <v>AC</v>
      </c>
      <c r="H29">
        <f t="shared" si="10"/>
        <v>10</v>
      </c>
      <c r="I29">
        <f t="shared" si="10"/>
        <v>3.1</v>
      </c>
      <c r="J29">
        <f t="shared" si="10"/>
        <v>3592</v>
      </c>
      <c r="K29">
        <f t="shared" si="10"/>
        <v>4717</v>
      </c>
      <c r="L29">
        <f t="shared" si="10"/>
        <v>1.31</v>
      </c>
      <c r="M29">
        <f t="shared" si="10"/>
        <v>430</v>
      </c>
      <c r="N29">
        <f t="shared" si="10"/>
        <v>7130</v>
      </c>
      <c r="O29">
        <f t="shared" si="10"/>
        <v>1.98</v>
      </c>
      <c r="P29">
        <f t="shared" si="10"/>
        <v>649</v>
      </c>
      <c r="Q29">
        <f t="shared" si="10"/>
        <v>198</v>
      </c>
      <c r="R29" s="10"/>
      <c r="Z29">
        <v>258</v>
      </c>
    </row>
    <row r="30" spans="1:26">
      <c r="A30">
        <f t="shared" si="11"/>
        <v>3</v>
      </c>
      <c r="B30">
        <f t="shared" si="12"/>
        <v>4</v>
      </c>
      <c r="C30">
        <f t="shared" si="13"/>
        <v>24</v>
      </c>
      <c r="D30">
        <v>128</v>
      </c>
      <c r="E30">
        <f t="shared" si="6"/>
        <v>276</v>
      </c>
      <c r="F30">
        <f t="shared" si="10"/>
        <v>229</v>
      </c>
      <c r="G30" t="str">
        <f t="shared" si="10"/>
        <v>AC</v>
      </c>
      <c r="H30">
        <f t="shared" si="10"/>
        <v>10</v>
      </c>
      <c r="I30">
        <f t="shared" si="10"/>
        <v>5</v>
      </c>
      <c r="J30">
        <f t="shared" si="10"/>
        <v>3201</v>
      </c>
      <c r="K30">
        <f t="shared" si="10"/>
        <v>10916</v>
      </c>
      <c r="L30">
        <f t="shared" si="10"/>
        <v>3.41</v>
      </c>
      <c r="M30">
        <f t="shared" si="10"/>
        <v>679</v>
      </c>
      <c r="N30">
        <f t="shared" si="10"/>
        <v>10866</v>
      </c>
      <c r="O30">
        <f t="shared" si="10"/>
        <v>3.39</v>
      </c>
      <c r="P30">
        <f t="shared" si="10"/>
        <v>676</v>
      </c>
      <c r="Q30">
        <f t="shared" si="10"/>
        <v>339</v>
      </c>
      <c r="R30" s="10"/>
      <c r="Z30">
        <v>203</v>
      </c>
    </row>
    <row r="31" spans="1:26">
      <c r="A31">
        <f t="shared" si="11"/>
        <v>3</v>
      </c>
      <c r="B31">
        <f t="shared" si="12"/>
        <v>5</v>
      </c>
      <c r="C31">
        <f t="shared" si="13"/>
        <v>25</v>
      </c>
      <c r="D31">
        <v>204</v>
      </c>
      <c r="E31">
        <f t="shared" si="6"/>
        <v>288</v>
      </c>
      <c r="F31">
        <f t="shared" si="10"/>
        <v>231</v>
      </c>
      <c r="G31" t="str">
        <f t="shared" si="10"/>
        <v>AC</v>
      </c>
      <c r="H31">
        <f t="shared" si="10"/>
        <v>7.5</v>
      </c>
      <c r="I31">
        <f t="shared" si="10"/>
        <v>2.2000000000000002</v>
      </c>
      <c r="J31">
        <f t="shared" si="10"/>
        <v>3521</v>
      </c>
      <c r="K31">
        <f t="shared" si="10"/>
        <v>4217</v>
      </c>
      <c r="L31">
        <f t="shared" si="10"/>
        <v>1.2</v>
      </c>
      <c r="M31">
        <f t="shared" si="10"/>
        <v>544</v>
      </c>
      <c r="N31">
        <f t="shared" si="10"/>
        <v>3996</v>
      </c>
      <c r="O31">
        <f t="shared" si="10"/>
        <v>1.1299999999999999</v>
      </c>
      <c r="P31">
        <f t="shared" si="10"/>
        <v>515</v>
      </c>
      <c r="Q31">
        <f t="shared" si="10"/>
        <v>151</v>
      </c>
      <c r="R31" s="10"/>
      <c r="Z31" t="s">
        <v>92</v>
      </c>
    </row>
    <row r="32" spans="1:26">
      <c r="A32">
        <f t="shared" si="11"/>
        <v>3</v>
      </c>
      <c r="B32">
        <f t="shared" si="12"/>
        <v>6</v>
      </c>
      <c r="C32">
        <f t="shared" si="13"/>
        <v>26</v>
      </c>
      <c r="D32" t="s">
        <v>92</v>
      </c>
      <c r="E32">
        <f t="shared" si="6"/>
        <v>300</v>
      </c>
      <c r="F32">
        <f t="shared" si="10"/>
        <v>362</v>
      </c>
      <c r="G32" t="str">
        <f t="shared" si="10"/>
        <v>AC</v>
      </c>
      <c r="H32">
        <f t="shared" si="10"/>
        <v>18</v>
      </c>
      <c r="I32">
        <f t="shared" si="10"/>
        <v>3.3</v>
      </c>
      <c r="J32">
        <f t="shared" si="10"/>
        <v>2949</v>
      </c>
      <c r="K32">
        <f t="shared" si="10"/>
        <v>2957</v>
      </c>
      <c r="L32">
        <f t="shared" si="10"/>
        <v>1</v>
      </c>
      <c r="M32">
        <f t="shared" si="10"/>
        <v>300</v>
      </c>
      <c r="N32">
        <f t="shared" si="10"/>
        <v>6242</v>
      </c>
      <c r="O32">
        <f t="shared" si="10"/>
        <v>2.12</v>
      </c>
      <c r="P32">
        <f t="shared" si="10"/>
        <v>632</v>
      </c>
      <c r="Q32">
        <f t="shared" si="10"/>
        <v>118</v>
      </c>
      <c r="R32" s="10"/>
      <c r="Z32">
        <v>10</v>
      </c>
    </row>
    <row r="33" spans="1:26">
      <c r="A33">
        <f t="shared" si="11"/>
        <v>3</v>
      </c>
      <c r="B33">
        <f t="shared" si="12"/>
        <v>7</v>
      </c>
      <c r="C33">
        <f t="shared" si="13"/>
        <v>27</v>
      </c>
      <c r="D33">
        <v>10</v>
      </c>
      <c r="E33">
        <f t="shared" si="6"/>
        <v>312</v>
      </c>
      <c r="F33">
        <f t="shared" si="10"/>
        <v>363</v>
      </c>
      <c r="G33" t="str">
        <f t="shared" si="10"/>
        <v>AC</v>
      </c>
      <c r="H33">
        <f t="shared" si="10"/>
        <v>20</v>
      </c>
      <c r="I33">
        <f t="shared" si="10"/>
        <v>7.7</v>
      </c>
      <c r="J33">
        <f t="shared" si="10"/>
        <v>3551</v>
      </c>
      <c r="K33">
        <f t="shared" si="10"/>
        <v>17324</v>
      </c>
      <c r="L33">
        <f t="shared" si="10"/>
        <v>4.88</v>
      </c>
      <c r="M33">
        <f t="shared" si="10"/>
        <v>634</v>
      </c>
      <c r="N33">
        <f t="shared" si="10"/>
        <v>19162</v>
      </c>
      <c r="O33">
        <f t="shared" si="10"/>
        <v>5.4</v>
      </c>
      <c r="P33">
        <f t="shared" si="10"/>
        <v>701</v>
      </c>
      <c r="Q33">
        <f t="shared" si="10"/>
        <v>270</v>
      </c>
      <c r="R33" s="10"/>
      <c r="Z33">
        <v>2.2999999999999998</v>
      </c>
    </row>
    <row r="34" spans="1:26">
      <c r="A34">
        <f t="shared" si="11"/>
        <v>3</v>
      </c>
      <c r="B34">
        <f t="shared" si="12"/>
        <v>8</v>
      </c>
      <c r="C34">
        <f t="shared" si="13"/>
        <v>28</v>
      </c>
      <c r="D34">
        <v>3.1</v>
      </c>
      <c r="E34">
        <f t="shared" si="6"/>
        <v>324</v>
      </c>
      <c r="F34">
        <f t="shared" si="10"/>
        <v>364</v>
      </c>
      <c r="G34" t="str">
        <f t="shared" si="10"/>
        <v>AC</v>
      </c>
      <c r="H34">
        <f t="shared" si="10"/>
        <v>25</v>
      </c>
      <c r="I34">
        <f t="shared" si="10"/>
        <v>6.4</v>
      </c>
      <c r="J34">
        <f t="shared" si="10"/>
        <v>2519</v>
      </c>
      <c r="K34">
        <f t="shared" si="10"/>
        <v>7967</v>
      </c>
      <c r="L34">
        <f t="shared" si="10"/>
        <v>3.16</v>
      </c>
      <c r="M34">
        <f t="shared" si="10"/>
        <v>498</v>
      </c>
      <c r="N34">
        <f t="shared" si="10"/>
        <v>11192</v>
      </c>
      <c r="O34">
        <f t="shared" si="10"/>
        <v>4.4400000000000004</v>
      </c>
      <c r="P34">
        <f t="shared" si="10"/>
        <v>699</v>
      </c>
      <c r="Q34">
        <f t="shared" si="10"/>
        <v>178</v>
      </c>
      <c r="R34" s="10"/>
      <c r="Z34">
        <v>2777</v>
      </c>
    </row>
    <row r="35" spans="1:26">
      <c r="A35">
        <f t="shared" si="11"/>
        <v>3</v>
      </c>
      <c r="B35">
        <f t="shared" si="12"/>
        <v>9</v>
      </c>
      <c r="C35">
        <f t="shared" si="13"/>
        <v>29</v>
      </c>
      <c r="D35">
        <v>4075</v>
      </c>
      <c r="E35">
        <f t="shared" si="6"/>
        <v>336</v>
      </c>
      <c r="F35">
        <f t="shared" si="10"/>
        <v>365</v>
      </c>
      <c r="G35" t="str">
        <f t="shared" si="10"/>
        <v>AC</v>
      </c>
      <c r="H35">
        <f t="shared" si="10"/>
        <v>25</v>
      </c>
      <c r="I35">
        <f t="shared" si="10"/>
        <v>6.8</v>
      </c>
      <c r="J35">
        <f t="shared" si="10"/>
        <v>2653</v>
      </c>
      <c r="K35">
        <f t="shared" si="10"/>
        <v>9885</v>
      </c>
      <c r="L35">
        <f t="shared" si="10"/>
        <v>3.73</v>
      </c>
      <c r="M35">
        <f t="shared" si="10"/>
        <v>551</v>
      </c>
      <c r="N35">
        <f t="shared" si="10"/>
        <v>11426</v>
      </c>
      <c r="O35">
        <f t="shared" si="10"/>
        <v>4.3099999999999996</v>
      </c>
      <c r="P35">
        <f t="shared" si="10"/>
        <v>636</v>
      </c>
      <c r="Q35">
        <f t="shared" si="10"/>
        <v>172</v>
      </c>
      <c r="R35" s="10"/>
      <c r="Z35">
        <v>4214</v>
      </c>
    </row>
    <row r="36" spans="1:26">
      <c r="A36">
        <f t="shared" si="11"/>
        <v>3</v>
      </c>
      <c r="B36">
        <f t="shared" si="12"/>
        <v>10</v>
      </c>
      <c r="C36">
        <f t="shared" si="13"/>
        <v>30</v>
      </c>
      <c r="D36">
        <v>8573</v>
      </c>
      <c r="E36">
        <f t="shared" si="6"/>
        <v>348</v>
      </c>
      <c r="F36">
        <f t="shared" si="10"/>
        <v>366</v>
      </c>
      <c r="G36" t="str">
        <f t="shared" si="10"/>
        <v>AC</v>
      </c>
      <c r="H36">
        <f t="shared" si="10"/>
        <v>25</v>
      </c>
      <c r="I36">
        <f t="shared" si="10"/>
        <v>6.7</v>
      </c>
      <c r="J36">
        <f t="shared" si="10"/>
        <v>2465</v>
      </c>
      <c r="K36">
        <f t="shared" si="10"/>
        <v>8993</v>
      </c>
      <c r="L36">
        <f t="shared" si="10"/>
        <v>3.65</v>
      </c>
      <c r="M36">
        <f t="shared" si="10"/>
        <v>544</v>
      </c>
      <c r="N36">
        <f t="shared" si="10"/>
        <v>5748</v>
      </c>
      <c r="O36">
        <f t="shared" si="10"/>
        <v>2.33</v>
      </c>
      <c r="P36">
        <f t="shared" si="10"/>
        <v>348</v>
      </c>
      <c r="Q36">
        <f t="shared" si="10"/>
        <v>93</v>
      </c>
      <c r="R36" s="10"/>
      <c r="Z36">
        <v>1.52</v>
      </c>
    </row>
    <row r="37" spans="1:26">
      <c r="A37">
        <f t="shared" si="11"/>
        <v>4</v>
      </c>
      <c r="B37">
        <f t="shared" si="12"/>
        <v>1</v>
      </c>
      <c r="C37">
        <f t="shared" si="13"/>
        <v>31</v>
      </c>
      <c r="D37">
        <v>2.1</v>
      </c>
      <c r="E37">
        <f t="shared" si="6"/>
        <v>360</v>
      </c>
      <c r="F37">
        <f t="shared" si="10"/>
        <v>367</v>
      </c>
      <c r="G37" t="str">
        <f t="shared" si="10"/>
        <v>AC</v>
      </c>
      <c r="H37">
        <f t="shared" si="10"/>
        <v>25</v>
      </c>
      <c r="I37">
        <f t="shared" si="10"/>
        <v>8.1</v>
      </c>
      <c r="J37">
        <f t="shared" si="10"/>
        <v>4211</v>
      </c>
      <c r="K37">
        <f t="shared" si="10"/>
        <v>6606</v>
      </c>
      <c r="L37">
        <f t="shared" si="10"/>
        <v>1.57</v>
      </c>
      <c r="M37">
        <f t="shared" si="10"/>
        <v>194</v>
      </c>
      <c r="N37">
        <f t="shared" si="10"/>
        <v>13694</v>
      </c>
      <c r="O37">
        <f t="shared" si="10"/>
        <v>3.25</v>
      </c>
      <c r="P37">
        <f t="shared" si="10"/>
        <v>402</v>
      </c>
      <c r="Q37">
        <f t="shared" si="10"/>
        <v>130</v>
      </c>
      <c r="R37" s="10"/>
      <c r="Z37">
        <v>665</v>
      </c>
    </row>
    <row r="38" spans="1:26">
      <c r="A38">
        <f t="shared" si="11"/>
        <v>4</v>
      </c>
      <c r="B38">
        <f t="shared" si="12"/>
        <v>2</v>
      </c>
      <c r="C38">
        <f t="shared" si="13"/>
        <v>32</v>
      </c>
      <c r="D38">
        <v>689</v>
      </c>
      <c r="E38">
        <f t="shared" si="6"/>
        <v>372</v>
      </c>
      <c r="F38">
        <f t="shared" si="10"/>
        <v>368</v>
      </c>
      <c r="G38" t="str">
        <f t="shared" si="10"/>
        <v>AC</v>
      </c>
      <c r="H38">
        <f t="shared" si="10"/>
        <v>25</v>
      </c>
      <c r="I38">
        <f t="shared" si="10"/>
        <v>6.4</v>
      </c>
      <c r="J38">
        <f t="shared" si="10"/>
        <v>3296</v>
      </c>
      <c r="K38">
        <f t="shared" si="10"/>
        <v>8716</v>
      </c>
      <c r="L38">
        <f t="shared" si="10"/>
        <v>2.64</v>
      </c>
      <c r="M38">
        <f t="shared" si="10"/>
        <v>412</v>
      </c>
      <c r="N38">
        <f t="shared" si="10"/>
        <v>11203</v>
      </c>
      <c r="O38">
        <f t="shared" si="10"/>
        <v>3.4</v>
      </c>
      <c r="P38">
        <f t="shared" si="10"/>
        <v>529</v>
      </c>
      <c r="Q38">
        <f t="shared" si="10"/>
        <v>136</v>
      </c>
      <c r="R38" s="10"/>
      <c r="Z38">
        <v>3562</v>
      </c>
    </row>
    <row r="39" spans="1:26">
      <c r="A39">
        <f t="shared" si="11"/>
        <v>4</v>
      </c>
      <c r="B39">
        <f t="shared" si="12"/>
        <v>3</v>
      </c>
      <c r="C39">
        <f t="shared" si="13"/>
        <v>33</v>
      </c>
      <c r="D39">
        <v>7782</v>
      </c>
      <c r="E39">
        <f t="shared" si="6"/>
        <v>384</v>
      </c>
      <c r="F39">
        <f t="shared" si="10"/>
        <v>369</v>
      </c>
      <c r="G39" t="str">
        <f t="shared" si="10"/>
        <v>AC</v>
      </c>
      <c r="H39">
        <f t="shared" si="10"/>
        <v>25</v>
      </c>
      <c r="I39">
        <f t="shared" si="10"/>
        <v>7</v>
      </c>
      <c r="J39">
        <f t="shared" si="10"/>
        <v>4093</v>
      </c>
      <c r="K39">
        <f t="shared" si="10"/>
        <v>16352</v>
      </c>
      <c r="L39">
        <f t="shared" si="10"/>
        <v>3.99</v>
      </c>
      <c r="M39">
        <f t="shared" si="10"/>
        <v>572</v>
      </c>
      <c r="N39">
        <f t="shared" si="10"/>
        <v>17755</v>
      </c>
      <c r="O39">
        <f t="shared" si="10"/>
        <v>4.34</v>
      </c>
      <c r="P39">
        <f t="shared" si="10"/>
        <v>621</v>
      </c>
      <c r="Q39">
        <f t="shared" si="10"/>
        <v>174</v>
      </c>
      <c r="R39" s="10"/>
      <c r="Z39">
        <v>1.28</v>
      </c>
    </row>
    <row r="40" spans="1:26">
      <c r="A40">
        <f t="shared" si="11"/>
        <v>4</v>
      </c>
      <c r="B40">
        <f t="shared" si="12"/>
        <v>4</v>
      </c>
      <c r="C40">
        <f t="shared" si="13"/>
        <v>34</v>
      </c>
      <c r="D40">
        <v>1.91</v>
      </c>
      <c r="E40">
        <f t="shared" si="6"/>
        <v>396</v>
      </c>
      <c r="F40">
        <f t="shared" si="10"/>
        <v>370</v>
      </c>
      <c r="G40" t="str">
        <f t="shared" si="10"/>
        <v>AC</v>
      </c>
      <c r="H40">
        <f t="shared" si="10"/>
        <v>25</v>
      </c>
      <c r="I40">
        <f t="shared" si="10"/>
        <v>6.9</v>
      </c>
      <c r="J40">
        <f t="shared" si="10"/>
        <v>4103</v>
      </c>
      <c r="K40">
        <f t="shared" si="10"/>
        <v>16699</v>
      </c>
      <c r="L40">
        <f t="shared" si="10"/>
        <v>4.07</v>
      </c>
      <c r="M40">
        <f t="shared" si="10"/>
        <v>593</v>
      </c>
      <c r="N40">
        <f t="shared" si="10"/>
        <v>18029</v>
      </c>
      <c r="O40">
        <f t="shared" si="10"/>
        <v>4.3899999999999997</v>
      </c>
      <c r="P40">
        <f t="shared" si="10"/>
        <v>641</v>
      </c>
      <c r="Q40">
        <f t="shared" si="10"/>
        <v>176</v>
      </c>
      <c r="R40" s="10"/>
      <c r="Z40">
        <v>562</v>
      </c>
    </row>
    <row r="41" spans="1:26">
      <c r="A41">
        <f t="shared" si="11"/>
        <v>4</v>
      </c>
      <c r="B41">
        <f t="shared" si="12"/>
        <v>5</v>
      </c>
      <c r="C41">
        <f t="shared" si="13"/>
        <v>35</v>
      </c>
      <c r="D41">
        <v>625</v>
      </c>
      <c r="E41">
        <f t="shared" si="6"/>
        <v>408</v>
      </c>
      <c r="F41">
        <f t="shared" si="10"/>
        <v>371</v>
      </c>
      <c r="G41" t="str">
        <f t="shared" si="10"/>
        <v>AC</v>
      </c>
      <c r="H41">
        <f t="shared" si="10"/>
        <v>25</v>
      </c>
      <c r="I41">
        <f t="shared" si="10"/>
        <v>6.4</v>
      </c>
      <c r="J41">
        <f t="shared" si="10"/>
        <v>4174</v>
      </c>
      <c r="K41">
        <f t="shared" si="10"/>
        <v>14282</v>
      </c>
      <c r="L41">
        <f t="shared" si="10"/>
        <v>3.42</v>
      </c>
      <c r="M41">
        <f t="shared" si="10"/>
        <v>535</v>
      </c>
      <c r="N41">
        <f t="shared" si="10"/>
        <v>18399</v>
      </c>
      <c r="O41">
        <f t="shared" si="10"/>
        <v>4.41</v>
      </c>
      <c r="P41">
        <f t="shared" si="10"/>
        <v>690</v>
      </c>
      <c r="Q41">
        <f t="shared" si="10"/>
        <v>176</v>
      </c>
      <c r="R41" s="10"/>
      <c r="Z41">
        <v>128</v>
      </c>
    </row>
    <row r="42" spans="1:26">
      <c r="A42">
        <f t="shared" si="11"/>
        <v>4</v>
      </c>
      <c r="B42">
        <f t="shared" si="12"/>
        <v>6</v>
      </c>
      <c r="C42">
        <f t="shared" si="13"/>
        <v>36</v>
      </c>
      <c r="D42">
        <v>191</v>
      </c>
      <c r="E42">
        <f t="shared" si="6"/>
        <v>420</v>
      </c>
      <c r="F42">
        <f t="shared" si="10"/>
        <v>372</v>
      </c>
      <c r="G42" t="str">
        <f t="shared" si="10"/>
        <v>HP</v>
      </c>
      <c r="H42">
        <f t="shared" si="10"/>
        <v>12.5</v>
      </c>
      <c r="I42">
        <f t="shared" si="10"/>
        <v>3.1</v>
      </c>
      <c r="J42">
        <f t="shared" si="10"/>
        <v>1040</v>
      </c>
      <c r="K42">
        <f t="shared" si="10"/>
        <v>1886</v>
      </c>
      <c r="L42">
        <f t="shared" si="10"/>
        <v>1.81</v>
      </c>
      <c r="M42">
        <f t="shared" si="10"/>
        <v>576</v>
      </c>
      <c r="N42">
        <f t="shared" si="10"/>
        <v>2986</v>
      </c>
      <c r="O42">
        <f t="shared" si="10"/>
        <v>2.87</v>
      </c>
      <c r="P42">
        <f t="shared" si="10"/>
        <v>912</v>
      </c>
      <c r="Q42">
        <f t="shared" si="10"/>
        <v>230</v>
      </c>
      <c r="R42" s="10"/>
      <c r="Z42">
        <v>204</v>
      </c>
    </row>
    <row r="43" spans="1:26">
      <c r="A43">
        <f t="shared" si="11"/>
        <v>4</v>
      </c>
      <c r="B43">
        <f t="shared" si="12"/>
        <v>7</v>
      </c>
      <c r="C43">
        <f t="shared" si="13"/>
        <v>37</v>
      </c>
      <c r="D43">
        <v>205</v>
      </c>
      <c r="E43">
        <f t="shared" si="6"/>
        <v>432</v>
      </c>
      <c r="F43">
        <f t="shared" si="10"/>
        <v>375</v>
      </c>
      <c r="G43" t="str">
        <f t="shared" si="10"/>
        <v>HP</v>
      </c>
      <c r="H43">
        <f t="shared" si="10"/>
        <v>15</v>
      </c>
      <c r="I43">
        <f t="shared" si="10"/>
        <v>3.4</v>
      </c>
      <c r="J43">
        <f t="shared" si="10"/>
        <v>1384</v>
      </c>
      <c r="K43">
        <f t="shared" si="10"/>
        <v>2734</v>
      </c>
      <c r="L43">
        <f t="shared" si="10"/>
        <v>1.98</v>
      </c>
      <c r="M43">
        <f t="shared" si="10"/>
        <v>574</v>
      </c>
      <c r="N43">
        <f t="shared" si="10"/>
        <v>4083</v>
      </c>
      <c r="O43">
        <f t="shared" si="10"/>
        <v>2.95</v>
      </c>
      <c r="P43">
        <f t="shared" si="10"/>
        <v>857</v>
      </c>
      <c r="Q43">
        <f t="shared" si="10"/>
        <v>197</v>
      </c>
      <c r="R43" s="10"/>
      <c r="Z43" t="s">
        <v>92</v>
      </c>
    </row>
    <row r="44" spans="1:26">
      <c r="A44">
        <f t="shared" si="11"/>
        <v>4</v>
      </c>
      <c r="B44">
        <f t="shared" si="12"/>
        <v>8</v>
      </c>
      <c r="C44">
        <f t="shared" si="13"/>
        <v>38</v>
      </c>
      <c r="D44" t="s">
        <v>92</v>
      </c>
      <c r="E44">
        <f t="shared" si="6"/>
        <v>444</v>
      </c>
      <c r="F44">
        <f t="shared" ref="F44:O59" si="14">VLOOKUP(($E44+F$6),$C$7:$D$1000,2,FALSE)</f>
        <v>376</v>
      </c>
      <c r="G44" t="str">
        <f t="shared" si="14"/>
        <v>HP</v>
      </c>
      <c r="H44">
        <f t="shared" si="14"/>
        <v>15</v>
      </c>
      <c r="I44">
        <f t="shared" si="14"/>
        <v>1.4</v>
      </c>
      <c r="J44">
        <f t="shared" si="14"/>
        <v>1438</v>
      </c>
      <c r="K44">
        <f t="shared" si="14"/>
        <v>1169</v>
      </c>
      <c r="L44">
        <f t="shared" si="14"/>
        <v>0.81</v>
      </c>
      <c r="M44">
        <f t="shared" si="14"/>
        <v>586</v>
      </c>
      <c r="N44">
        <f t="shared" si="14"/>
        <v>1003</v>
      </c>
      <c r="O44">
        <f t="shared" si="14"/>
        <v>0.7</v>
      </c>
      <c r="P44">
        <f t="shared" ref="P44:Q67" si="15">VLOOKUP(($E44+P$6),$C$7:$D$1000,2,FALSE)</f>
        <v>503</v>
      </c>
      <c r="Q44">
        <f t="shared" si="15"/>
        <v>46</v>
      </c>
      <c r="R44" s="10"/>
      <c r="Z44">
        <v>10</v>
      </c>
    </row>
    <row r="45" spans="1:26">
      <c r="A45">
        <f t="shared" si="11"/>
        <v>4</v>
      </c>
      <c r="B45">
        <f t="shared" si="12"/>
        <v>9</v>
      </c>
      <c r="C45">
        <f t="shared" si="13"/>
        <v>39</v>
      </c>
      <c r="D45">
        <v>15</v>
      </c>
      <c r="E45">
        <f t="shared" si="6"/>
        <v>456</v>
      </c>
      <c r="F45">
        <f t="shared" si="14"/>
        <v>377</v>
      </c>
      <c r="G45" t="str">
        <f t="shared" si="14"/>
        <v>HP</v>
      </c>
      <c r="H45">
        <f t="shared" si="14"/>
        <v>7.5</v>
      </c>
      <c r="I45">
        <f t="shared" si="14"/>
        <v>1.4</v>
      </c>
      <c r="J45">
        <f t="shared" si="14"/>
        <v>1427</v>
      </c>
      <c r="K45">
        <f t="shared" si="14"/>
        <v>1149</v>
      </c>
      <c r="L45">
        <f t="shared" si="14"/>
        <v>0.8</v>
      </c>
      <c r="M45">
        <f t="shared" si="14"/>
        <v>560</v>
      </c>
      <c r="N45">
        <f t="shared" si="14"/>
        <v>1615</v>
      </c>
      <c r="O45">
        <f t="shared" si="14"/>
        <v>1.1299999999999999</v>
      </c>
      <c r="P45">
        <f t="shared" si="15"/>
        <v>787</v>
      </c>
      <c r="Q45">
        <f t="shared" si="15"/>
        <v>151</v>
      </c>
      <c r="R45" s="10"/>
      <c r="Z45">
        <v>3.1</v>
      </c>
    </row>
    <row r="46" spans="1:26">
      <c r="A46">
        <f t="shared" si="11"/>
        <v>4</v>
      </c>
      <c r="B46">
        <f t="shared" si="12"/>
        <v>10</v>
      </c>
      <c r="C46">
        <f t="shared" si="13"/>
        <v>40</v>
      </c>
      <c r="D46">
        <v>2.4</v>
      </c>
      <c r="E46">
        <f t="shared" si="6"/>
        <v>468</v>
      </c>
      <c r="F46">
        <f t="shared" si="14"/>
        <v>378</v>
      </c>
      <c r="G46" t="str">
        <f t="shared" si="14"/>
        <v>HP</v>
      </c>
      <c r="H46">
        <f t="shared" si="14"/>
        <v>10</v>
      </c>
      <c r="I46">
        <f t="shared" si="14"/>
        <v>3.3</v>
      </c>
      <c r="J46">
        <f t="shared" si="14"/>
        <v>1374</v>
      </c>
      <c r="K46">
        <f t="shared" si="14"/>
        <v>1963</v>
      </c>
      <c r="L46">
        <f t="shared" si="14"/>
        <v>1.43</v>
      </c>
      <c r="M46">
        <f t="shared" si="14"/>
        <v>427</v>
      </c>
      <c r="N46">
        <f t="shared" si="14"/>
        <v>2907</v>
      </c>
      <c r="O46">
        <f t="shared" si="14"/>
        <v>2.12</v>
      </c>
      <c r="P46">
        <f t="shared" si="15"/>
        <v>632</v>
      </c>
      <c r="Q46">
        <f t="shared" si="15"/>
        <v>212</v>
      </c>
      <c r="R46" s="10"/>
      <c r="Z46">
        <v>4075</v>
      </c>
    </row>
    <row r="47" spans="1:26">
      <c r="A47">
        <f t="shared" si="11"/>
        <v>5</v>
      </c>
      <c r="B47">
        <f t="shared" si="12"/>
        <v>1</v>
      </c>
      <c r="C47">
        <f t="shared" si="13"/>
        <v>41</v>
      </c>
      <c r="D47">
        <v>3631</v>
      </c>
      <c r="E47">
        <f t="shared" si="6"/>
        <v>480</v>
      </c>
      <c r="F47">
        <f t="shared" si="14"/>
        <v>379</v>
      </c>
      <c r="G47" t="str">
        <f t="shared" si="14"/>
        <v>HP</v>
      </c>
      <c r="H47">
        <f t="shared" si="14"/>
        <v>5</v>
      </c>
      <c r="I47">
        <f t="shared" si="14"/>
        <v>0.6</v>
      </c>
      <c r="J47">
        <f t="shared" si="14"/>
        <v>1428</v>
      </c>
      <c r="K47">
        <f t="shared" si="14"/>
        <v>451</v>
      </c>
      <c r="L47">
        <f t="shared" si="14"/>
        <v>0.32</v>
      </c>
      <c r="M47">
        <f t="shared" si="14"/>
        <v>545</v>
      </c>
      <c r="N47">
        <f t="shared" si="14"/>
        <v>707</v>
      </c>
      <c r="O47">
        <f t="shared" si="14"/>
        <v>0.49</v>
      </c>
      <c r="P47">
        <f t="shared" si="15"/>
        <v>853</v>
      </c>
      <c r="Q47">
        <f t="shared" si="15"/>
        <v>99</v>
      </c>
      <c r="R47" s="10"/>
      <c r="Z47">
        <v>8573</v>
      </c>
    </row>
    <row r="48" spans="1:26">
      <c r="A48">
        <f t="shared" si="11"/>
        <v>5</v>
      </c>
      <c r="B48">
        <f t="shared" si="12"/>
        <v>2</v>
      </c>
      <c r="C48">
        <f t="shared" si="13"/>
        <v>42</v>
      </c>
      <c r="D48">
        <v>5805</v>
      </c>
      <c r="E48">
        <f t="shared" si="6"/>
        <v>492</v>
      </c>
      <c r="F48">
        <f t="shared" si="14"/>
        <v>380</v>
      </c>
      <c r="G48" t="str">
        <f t="shared" si="14"/>
        <v>HP</v>
      </c>
      <c r="H48">
        <f t="shared" si="14"/>
        <v>7.5</v>
      </c>
      <c r="I48">
        <f t="shared" si="14"/>
        <v>1.4</v>
      </c>
      <c r="J48">
        <f t="shared" si="14"/>
        <v>1417</v>
      </c>
      <c r="K48">
        <f t="shared" si="14"/>
        <v>1132</v>
      </c>
      <c r="L48">
        <f t="shared" si="14"/>
        <v>0.8</v>
      </c>
      <c r="M48">
        <f t="shared" si="14"/>
        <v>570</v>
      </c>
      <c r="N48">
        <f t="shared" si="14"/>
        <v>1516</v>
      </c>
      <c r="O48">
        <f t="shared" si="14"/>
        <v>1.07</v>
      </c>
      <c r="P48">
        <f t="shared" si="15"/>
        <v>763</v>
      </c>
      <c r="Q48">
        <f t="shared" si="15"/>
        <v>143</v>
      </c>
      <c r="R48" s="10"/>
      <c r="Z48">
        <v>2.1</v>
      </c>
    </row>
    <row r="49" spans="1:26">
      <c r="A49">
        <f t="shared" si="11"/>
        <v>5</v>
      </c>
      <c r="B49">
        <f t="shared" si="12"/>
        <v>3</v>
      </c>
      <c r="C49">
        <f t="shared" si="13"/>
        <v>43</v>
      </c>
      <c r="D49">
        <v>1.6</v>
      </c>
      <c r="E49">
        <f t="shared" si="6"/>
        <v>504</v>
      </c>
      <c r="F49">
        <f t="shared" si="14"/>
        <v>381</v>
      </c>
      <c r="G49" t="str">
        <f t="shared" si="14"/>
        <v>HP</v>
      </c>
      <c r="H49">
        <f t="shared" si="14"/>
        <v>15</v>
      </c>
      <c r="I49">
        <f t="shared" si="14"/>
        <v>2.6</v>
      </c>
      <c r="J49">
        <f t="shared" si="14"/>
        <v>3045</v>
      </c>
      <c r="K49">
        <f t="shared" si="14"/>
        <v>4137</v>
      </c>
      <c r="L49">
        <f t="shared" si="14"/>
        <v>1.36</v>
      </c>
      <c r="M49">
        <f t="shared" si="14"/>
        <v>517</v>
      </c>
      <c r="N49">
        <f t="shared" si="14"/>
        <v>5891</v>
      </c>
      <c r="O49">
        <f t="shared" si="14"/>
        <v>1.93</v>
      </c>
      <c r="P49">
        <f t="shared" si="15"/>
        <v>736</v>
      </c>
      <c r="Q49">
        <f t="shared" si="15"/>
        <v>129</v>
      </c>
      <c r="R49" s="10"/>
      <c r="Z49">
        <v>689</v>
      </c>
    </row>
    <row r="50" spans="1:26">
      <c r="A50">
        <f t="shared" si="11"/>
        <v>5</v>
      </c>
      <c r="B50">
        <f t="shared" si="12"/>
        <v>4</v>
      </c>
      <c r="C50">
        <f t="shared" si="13"/>
        <v>44</v>
      </c>
      <c r="D50">
        <v>679</v>
      </c>
      <c r="E50">
        <f t="shared" si="6"/>
        <v>516</v>
      </c>
      <c r="F50">
        <f t="shared" si="14"/>
        <v>382</v>
      </c>
      <c r="G50" t="str">
        <f t="shared" si="14"/>
        <v>HP</v>
      </c>
      <c r="H50">
        <f t="shared" si="14"/>
        <v>15</v>
      </c>
      <c r="I50">
        <f t="shared" si="14"/>
        <v>2.7</v>
      </c>
      <c r="J50">
        <f t="shared" si="14"/>
        <v>3048</v>
      </c>
      <c r="K50">
        <f t="shared" si="14"/>
        <v>4923</v>
      </c>
      <c r="L50">
        <f t="shared" si="14"/>
        <v>1.62</v>
      </c>
      <c r="M50">
        <f t="shared" si="14"/>
        <v>600</v>
      </c>
      <c r="N50">
        <f t="shared" si="14"/>
        <v>7816</v>
      </c>
      <c r="O50">
        <f t="shared" si="14"/>
        <v>2.56</v>
      </c>
      <c r="P50">
        <f t="shared" si="15"/>
        <v>953</v>
      </c>
      <c r="Q50">
        <f t="shared" si="15"/>
        <v>171</v>
      </c>
      <c r="R50" s="10"/>
      <c r="Z50">
        <v>7782</v>
      </c>
    </row>
    <row r="51" spans="1:26">
      <c r="A51">
        <f t="shared" si="11"/>
        <v>5</v>
      </c>
      <c r="B51">
        <f t="shared" si="12"/>
        <v>5</v>
      </c>
      <c r="C51">
        <f t="shared" si="13"/>
        <v>45</v>
      </c>
      <c r="D51">
        <v>5777</v>
      </c>
      <c r="E51">
        <f t="shared" si="6"/>
        <v>528</v>
      </c>
      <c r="F51">
        <f t="shared" si="14"/>
        <v>383</v>
      </c>
      <c r="G51" t="str">
        <f t="shared" si="14"/>
        <v>HP</v>
      </c>
      <c r="H51">
        <f t="shared" si="14"/>
        <v>15</v>
      </c>
      <c r="I51">
        <f t="shared" si="14"/>
        <v>2.7</v>
      </c>
      <c r="J51">
        <f t="shared" si="14"/>
        <v>2923</v>
      </c>
      <c r="K51">
        <f t="shared" si="14"/>
        <v>4347</v>
      </c>
      <c r="L51">
        <f t="shared" si="14"/>
        <v>1.49</v>
      </c>
      <c r="M51">
        <f t="shared" si="14"/>
        <v>555</v>
      </c>
      <c r="N51">
        <f t="shared" si="14"/>
        <v>4910</v>
      </c>
      <c r="O51">
        <f t="shared" si="14"/>
        <v>1.68</v>
      </c>
      <c r="P51">
        <f t="shared" si="15"/>
        <v>626</v>
      </c>
      <c r="Q51">
        <f t="shared" si="15"/>
        <v>112</v>
      </c>
      <c r="R51" s="10"/>
      <c r="Z51">
        <v>1.91</v>
      </c>
    </row>
    <row r="52" spans="1:26">
      <c r="A52">
        <f t="shared" si="11"/>
        <v>5</v>
      </c>
      <c r="B52">
        <f t="shared" si="12"/>
        <v>6</v>
      </c>
      <c r="C52">
        <f t="shared" si="13"/>
        <v>46</v>
      </c>
      <c r="D52">
        <v>1.59</v>
      </c>
      <c r="E52">
        <f t="shared" si="6"/>
        <v>540</v>
      </c>
      <c r="F52">
        <f t="shared" si="14"/>
        <v>384</v>
      </c>
      <c r="G52" t="str">
        <f t="shared" si="14"/>
        <v>HP</v>
      </c>
      <c r="H52">
        <f t="shared" si="14"/>
        <v>20</v>
      </c>
      <c r="I52">
        <f t="shared" si="14"/>
        <v>2.9</v>
      </c>
      <c r="J52">
        <f t="shared" si="14"/>
        <v>2876</v>
      </c>
      <c r="K52">
        <f t="shared" si="14"/>
        <v>5003</v>
      </c>
      <c r="L52">
        <f t="shared" si="14"/>
        <v>1.74</v>
      </c>
      <c r="M52">
        <f t="shared" si="14"/>
        <v>603</v>
      </c>
      <c r="N52">
        <f t="shared" si="14"/>
        <v>6084</v>
      </c>
      <c r="O52">
        <f t="shared" si="14"/>
        <v>2.12</v>
      </c>
      <c r="P52">
        <f t="shared" si="15"/>
        <v>734</v>
      </c>
      <c r="Q52">
        <f t="shared" si="15"/>
        <v>106</v>
      </c>
      <c r="R52" s="10"/>
      <c r="Z52">
        <v>625</v>
      </c>
    </row>
    <row r="53" spans="1:26">
      <c r="A53">
        <f t="shared" si="11"/>
        <v>5</v>
      </c>
      <c r="B53">
        <f t="shared" si="12"/>
        <v>7</v>
      </c>
      <c r="C53">
        <f t="shared" si="13"/>
        <v>47</v>
      </c>
      <c r="D53">
        <v>675</v>
      </c>
      <c r="E53">
        <f t="shared" si="6"/>
        <v>552</v>
      </c>
      <c r="F53">
        <f t="shared" si="14"/>
        <v>385</v>
      </c>
      <c r="G53" t="str">
        <f t="shared" si="14"/>
        <v>HP</v>
      </c>
      <c r="H53">
        <f t="shared" si="14"/>
        <v>15</v>
      </c>
      <c r="I53">
        <f t="shared" si="14"/>
        <v>2.7</v>
      </c>
      <c r="J53">
        <f t="shared" si="14"/>
        <v>3013</v>
      </c>
      <c r="K53">
        <f t="shared" si="14"/>
        <v>4691</v>
      </c>
      <c r="L53">
        <f t="shared" si="14"/>
        <v>1.56</v>
      </c>
      <c r="M53">
        <f t="shared" si="14"/>
        <v>572</v>
      </c>
      <c r="N53">
        <f t="shared" si="14"/>
        <v>6379</v>
      </c>
      <c r="O53">
        <f t="shared" si="14"/>
        <v>2.12</v>
      </c>
      <c r="P53">
        <f t="shared" si="15"/>
        <v>778</v>
      </c>
      <c r="Q53">
        <f t="shared" si="15"/>
        <v>141</v>
      </c>
      <c r="R53" s="10"/>
      <c r="Z53">
        <v>191</v>
      </c>
    </row>
    <row r="54" spans="1:26">
      <c r="A54">
        <f t="shared" si="11"/>
        <v>5</v>
      </c>
      <c r="B54">
        <f t="shared" si="12"/>
        <v>8</v>
      </c>
      <c r="C54">
        <f t="shared" si="13"/>
        <v>48</v>
      </c>
      <c r="D54">
        <v>106</v>
      </c>
      <c r="E54">
        <f t="shared" si="6"/>
        <v>564</v>
      </c>
      <c r="F54">
        <f t="shared" si="14"/>
        <v>386</v>
      </c>
      <c r="G54" t="str">
        <f t="shared" si="14"/>
        <v>HP</v>
      </c>
      <c r="H54">
        <f t="shared" si="14"/>
        <v>15</v>
      </c>
      <c r="I54">
        <f t="shared" si="14"/>
        <v>2.2000000000000002</v>
      </c>
      <c r="J54">
        <f t="shared" si="14"/>
        <v>3051</v>
      </c>
      <c r="K54">
        <f t="shared" si="14"/>
        <v>4190</v>
      </c>
      <c r="L54">
        <f t="shared" si="14"/>
        <v>1.37</v>
      </c>
      <c r="M54">
        <f t="shared" si="14"/>
        <v>615</v>
      </c>
      <c r="N54">
        <f t="shared" si="14"/>
        <v>4650</v>
      </c>
      <c r="O54">
        <f t="shared" si="14"/>
        <v>1.52</v>
      </c>
      <c r="P54">
        <f t="shared" si="15"/>
        <v>682</v>
      </c>
      <c r="Q54">
        <f t="shared" si="15"/>
        <v>102</v>
      </c>
      <c r="R54" s="10"/>
      <c r="Z54">
        <v>205</v>
      </c>
    </row>
    <row r="55" spans="1:26">
      <c r="A55">
        <f t="shared" si="11"/>
        <v>5</v>
      </c>
      <c r="B55">
        <f t="shared" si="12"/>
        <v>9</v>
      </c>
      <c r="C55">
        <f t="shared" si="13"/>
        <v>49</v>
      </c>
      <c r="D55">
        <v>206</v>
      </c>
      <c r="E55">
        <f t="shared" si="6"/>
        <v>576</v>
      </c>
      <c r="F55">
        <f t="shared" si="14"/>
        <v>387</v>
      </c>
      <c r="G55" t="str">
        <f t="shared" si="14"/>
        <v>HP</v>
      </c>
      <c r="H55">
        <f t="shared" si="14"/>
        <v>15</v>
      </c>
      <c r="I55">
        <f t="shared" si="14"/>
        <v>2.4</v>
      </c>
      <c r="J55">
        <f t="shared" si="14"/>
        <v>2990</v>
      </c>
      <c r="K55">
        <f t="shared" si="14"/>
        <v>3955</v>
      </c>
      <c r="L55">
        <f t="shared" si="14"/>
        <v>1.32</v>
      </c>
      <c r="M55">
        <f t="shared" si="14"/>
        <v>558</v>
      </c>
      <c r="N55">
        <f t="shared" si="14"/>
        <v>5544</v>
      </c>
      <c r="O55">
        <f t="shared" si="14"/>
        <v>1.85</v>
      </c>
      <c r="P55">
        <f t="shared" si="15"/>
        <v>783</v>
      </c>
      <c r="Q55">
        <f t="shared" si="15"/>
        <v>124</v>
      </c>
      <c r="R55" s="10"/>
      <c r="Z55" t="s">
        <v>92</v>
      </c>
    </row>
    <row r="56" spans="1:26">
      <c r="A56">
        <f t="shared" si="11"/>
        <v>5</v>
      </c>
      <c r="B56">
        <f t="shared" si="12"/>
        <v>10</v>
      </c>
      <c r="C56">
        <f t="shared" si="13"/>
        <v>50</v>
      </c>
      <c r="D56" t="s">
        <v>92</v>
      </c>
      <c r="E56">
        <f t="shared" si="6"/>
        <v>588</v>
      </c>
      <c r="F56">
        <f t="shared" si="14"/>
        <v>388</v>
      </c>
      <c r="G56" t="str">
        <f t="shared" si="14"/>
        <v>HP</v>
      </c>
      <c r="H56">
        <f t="shared" si="14"/>
        <v>15</v>
      </c>
      <c r="I56">
        <f t="shared" si="14"/>
        <v>2.4</v>
      </c>
      <c r="J56">
        <f t="shared" si="14"/>
        <v>2837</v>
      </c>
      <c r="K56">
        <f t="shared" si="14"/>
        <v>4444</v>
      </c>
      <c r="L56">
        <f t="shared" si="14"/>
        <v>1.57</v>
      </c>
      <c r="M56">
        <f t="shared" si="14"/>
        <v>644</v>
      </c>
      <c r="N56">
        <f t="shared" si="14"/>
        <v>4621</v>
      </c>
      <c r="O56">
        <f t="shared" si="14"/>
        <v>1.63</v>
      </c>
      <c r="P56">
        <f t="shared" si="15"/>
        <v>669</v>
      </c>
      <c r="Q56">
        <f t="shared" si="15"/>
        <v>109</v>
      </c>
      <c r="R56" s="10"/>
      <c r="Z56">
        <v>15</v>
      </c>
    </row>
    <row r="57" spans="1:26">
      <c r="A57">
        <f t="shared" si="11"/>
        <v>6</v>
      </c>
      <c r="B57">
        <f t="shared" si="12"/>
        <v>1</v>
      </c>
      <c r="C57">
        <f t="shared" si="13"/>
        <v>51</v>
      </c>
      <c r="D57">
        <v>10</v>
      </c>
      <c r="E57">
        <f t="shared" si="6"/>
        <v>600</v>
      </c>
      <c r="F57">
        <f t="shared" si="14"/>
        <v>389</v>
      </c>
      <c r="G57" t="str">
        <f t="shared" si="14"/>
        <v>HP</v>
      </c>
      <c r="H57">
        <f t="shared" si="14"/>
        <v>15</v>
      </c>
      <c r="I57">
        <f t="shared" si="14"/>
        <v>2.5</v>
      </c>
      <c r="J57">
        <f t="shared" si="14"/>
        <v>2844</v>
      </c>
      <c r="K57">
        <f t="shared" si="14"/>
        <v>3482</v>
      </c>
      <c r="L57">
        <f t="shared" si="14"/>
        <v>1.22</v>
      </c>
      <c r="M57">
        <f t="shared" si="14"/>
        <v>491</v>
      </c>
      <c r="N57">
        <f t="shared" si="14"/>
        <v>6809</v>
      </c>
      <c r="O57">
        <f t="shared" si="14"/>
        <v>2.39</v>
      </c>
      <c r="P57">
        <f t="shared" si="15"/>
        <v>960</v>
      </c>
      <c r="Q57">
        <f t="shared" si="15"/>
        <v>160</v>
      </c>
      <c r="R57" s="10"/>
      <c r="Z57">
        <v>2.4</v>
      </c>
    </row>
    <row r="58" spans="1:26">
      <c r="A58">
        <f t="shared" si="11"/>
        <v>6</v>
      </c>
      <c r="B58">
        <f t="shared" si="12"/>
        <v>2</v>
      </c>
      <c r="C58">
        <f t="shared" si="13"/>
        <v>52</v>
      </c>
      <c r="D58">
        <v>2.8</v>
      </c>
      <c r="E58">
        <f t="shared" si="6"/>
        <v>612</v>
      </c>
      <c r="F58">
        <f t="shared" si="14"/>
        <v>407</v>
      </c>
      <c r="G58" t="str">
        <f t="shared" si="14"/>
        <v>AC</v>
      </c>
      <c r="H58">
        <f t="shared" si="14"/>
        <v>7.5</v>
      </c>
      <c r="I58">
        <f t="shared" si="14"/>
        <v>1.4</v>
      </c>
      <c r="J58">
        <f t="shared" si="14"/>
        <v>1523</v>
      </c>
      <c r="K58">
        <f t="shared" si="14"/>
        <v>660</v>
      </c>
      <c r="L58">
        <f t="shared" si="14"/>
        <v>0.43</v>
      </c>
      <c r="M58">
        <f t="shared" si="14"/>
        <v>313</v>
      </c>
      <c r="N58">
        <f t="shared" si="14"/>
        <v>1991</v>
      </c>
      <c r="O58">
        <f t="shared" si="14"/>
        <v>1.31</v>
      </c>
      <c r="P58">
        <f t="shared" si="15"/>
        <v>945</v>
      </c>
      <c r="Q58">
        <f t="shared" si="15"/>
        <v>174</v>
      </c>
      <c r="R58" s="10"/>
      <c r="Z58">
        <v>3631</v>
      </c>
    </row>
    <row r="59" spans="1:26">
      <c r="A59">
        <f t="shared" si="11"/>
        <v>6</v>
      </c>
      <c r="B59">
        <f t="shared" si="12"/>
        <v>3</v>
      </c>
      <c r="C59">
        <f t="shared" si="13"/>
        <v>53</v>
      </c>
      <c r="D59">
        <v>2588</v>
      </c>
      <c r="E59">
        <f t="shared" si="6"/>
        <v>624</v>
      </c>
      <c r="F59">
        <f t="shared" si="14"/>
        <v>408</v>
      </c>
      <c r="G59" t="str">
        <f t="shared" si="14"/>
        <v>AC</v>
      </c>
      <c r="H59">
        <f t="shared" si="14"/>
        <v>10</v>
      </c>
      <c r="I59">
        <f t="shared" si="14"/>
        <v>1.9</v>
      </c>
      <c r="J59">
        <f t="shared" si="14"/>
        <v>3604</v>
      </c>
      <c r="K59">
        <f t="shared" ref="F59:O67" si="16">VLOOKUP(($E59+K$6),$C$7:$D$1000,2,FALSE)</f>
        <v>3355</v>
      </c>
      <c r="L59">
        <f t="shared" si="16"/>
        <v>0.93</v>
      </c>
      <c r="M59">
        <f t="shared" si="16"/>
        <v>492</v>
      </c>
      <c r="N59">
        <f t="shared" si="16"/>
        <v>3838</v>
      </c>
      <c r="O59">
        <f t="shared" si="16"/>
        <v>1.06</v>
      </c>
      <c r="P59">
        <f t="shared" si="15"/>
        <v>563</v>
      </c>
      <c r="Q59">
        <f t="shared" si="15"/>
        <v>106</v>
      </c>
      <c r="R59" s="10"/>
      <c r="Z59">
        <v>5805</v>
      </c>
    </row>
    <row r="60" spans="1:26">
      <c r="A60">
        <f t="shared" si="11"/>
        <v>6</v>
      </c>
      <c r="B60">
        <f t="shared" si="12"/>
        <v>4</v>
      </c>
      <c r="C60">
        <f t="shared" si="13"/>
        <v>54</v>
      </c>
      <c r="D60">
        <v>5139</v>
      </c>
      <c r="E60">
        <f t="shared" si="6"/>
        <v>636</v>
      </c>
      <c r="F60">
        <f t="shared" si="16"/>
        <v>409</v>
      </c>
      <c r="G60" t="str">
        <f t="shared" si="16"/>
        <v>AC</v>
      </c>
      <c r="H60">
        <f t="shared" si="16"/>
        <v>15</v>
      </c>
      <c r="I60">
        <f t="shared" si="16"/>
        <v>3.4</v>
      </c>
      <c r="J60">
        <f t="shared" si="16"/>
        <v>3308</v>
      </c>
      <c r="K60">
        <f t="shared" si="16"/>
        <v>7000</v>
      </c>
      <c r="L60">
        <f t="shared" si="16"/>
        <v>2.12</v>
      </c>
      <c r="M60">
        <f t="shared" si="16"/>
        <v>624</v>
      </c>
      <c r="N60">
        <f t="shared" si="16"/>
        <v>2215</v>
      </c>
      <c r="O60">
        <f t="shared" si="16"/>
        <v>0.67</v>
      </c>
      <c r="P60">
        <f t="shared" si="15"/>
        <v>197</v>
      </c>
      <c r="Q60">
        <f t="shared" si="15"/>
        <v>45</v>
      </c>
      <c r="R60" s="10"/>
      <c r="Z60">
        <v>1.6</v>
      </c>
    </row>
    <row r="61" spans="1:26">
      <c r="A61">
        <f t="shared" si="11"/>
        <v>6</v>
      </c>
      <c r="B61">
        <f t="shared" si="12"/>
        <v>5</v>
      </c>
      <c r="C61">
        <f t="shared" si="13"/>
        <v>55</v>
      </c>
      <c r="D61">
        <v>1.99</v>
      </c>
      <c r="E61">
        <f t="shared" si="6"/>
        <v>648</v>
      </c>
      <c r="F61">
        <f t="shared" si="16"/>
        <v>410</v>
      </c>
      <c r="G61" t="str">
        <f t="shared" si="16"/>
        <v>AC</v>
      </c>
      <c r="H61">
        <f t="shared" si="16"/>
        <v>25</v>
      </c>
      <c r="I61">
        <f t="shared" si="16"/>
        <v>4</v>
      </c>
      <c r="J61">
        <f t="shared" si="16"/>
        <v>3624</v>
      </c>
      <c r="K61">
        <f t="shared" si="16"/>
        <v>5937</v>
      </c>
      <c r="L61">
        <f t="shared" si="16"/>
        <v>1.64</v>
      </c>
      <c r="M61">
        <f t="shared" si="16"/>
        <v>410</v>
      </c>
      <c r="N61">
        <f t="shared" si="16"/>
        <v>11822</v>
      </c>
      <c r="O61">
        <f t="shared" si="16"/>
        <v>3.26</v>
      </c>
      <c r="P61">
        <f t="shared" si="15"/>
        <v>816</v>
      </c>
      <c r="Q61">
        <f t="shared" si="15"/>
        <v>130</v>
      </c>
      <c r="R61" s="10"/>
      <c r="Z61">
        <v>679</v>
      </c>
    </row>
    <row r="62" spans="1:26">
      <c r="A62">
        <f t="shared" si="11"/>
        <v>6</v>
      </c>
      <c r="B62">
        <f t="shared" si="12"/>
        <v>6</v>
      </c>
      <c r="C62">
        <f t="shared" si="13"/>
        <v>56</v>
      </c>
      <c r="D62">
        <v>702</v>
      </c>
      <c r="E62">
        <f t="shared" si="6"/>
        <v>660</v>
      </c>
      <c r="F62">
        <f t="shared" si="16"/>
        <v>411</v>
      </c>
      <c r="G62" t="str">
        <f t="shared" si="16"/>
        <v>AC</v>
      </c>
      <c r="H62">
        <f t="shared" si="16"/>
        <v>25</v>
      </c>
      <c r="I62">
        <f t="shared" si="16"/>
        <v>5.9</v>
      </c>
      <c r="J62">
        <f t="shared" si="16"/>
        <v>3309</v>
      </c>
      <c r="K62">
        <f t="shared" si="16"/>
        <v>6522</v>
      </c>
      <c r="L62">
        <f t="shared" si="16"/>
        <v>1.97</v>
      </c>
      <c r="M62">
        <f t="shared" si="16"/>
        <v>333</v>
      </c>
      <c r="N62">
        <f t="shared" si="16"/>
        <v>10129</v>
      </c>
      <c r="O62">
        <f t="shared" si="16"/>
        <v>3.06</v>
      </c>
      <c r="P62">
        <f t="shared" si="15"/>
        <v>517</v>
      </c>
      <c r="Q62">
        <f t="shared" si="15"/>
        <v>122</v>
      </c>
      <c r="R62" s="10"/>
      <c r="Z62">
        <v>5777</v>
      </c>
    </row>
    <row r="63" spans="1:26">
      <c r="A63">
        <f t="shared" si="11"/>
        <v>6</v>
      </c>
      <c r="B63">
        <f t="shared" si="12"/>
        <v>7</v>
      </c>
      <c r="C63">
        <f t="shared" si="13"/>
        <v>57</v>
      </c>
      <c r="D63">
        <v>4951</v>
      </c>
      <c r="E63">
        <f t="shared" si="6"/>
        <v>672</v>
      </c>
      <c r="F63">
        <f t="shared" si="16"/>
        <v>423</v>
      </c>
      <c r="G63" t="str">
        <f t="shared" si="16"/>
        <v>AC</v>
      </c>
      <c r="H63">
        <f t="shared" si="16"/>
        <v>10</v>
      </c>
      <c r="I63">
        <f t="shared" si="16"/>
        <v>2.6</v>
      </c>
      <c r="J63">
        <f t="shared" si="16"/>
        <v>1725</v>
      </c>
      <c r="K63">
        <f t="shared" si="16"/>
        <v>3083</v>
      </c>
      <c r="L63">
        <f t="shared" si="16"/>
        <v>1.79</v>
      </c>
      <c r="M63">
        <f t="shared" si="16"/>
        <v>676</v>
      </c>
      <c r="N63">
        <f t="shared" si="16"/>
        <v>3094</v>
      </c>
      <c r="O63">
        <f t="shared" si="16"/>
        <v>1.79</v>
      </c>
      <c r="P63">
        <f t="shared" si="15"/>
        <v>679</v>
      </c>
      <c r="Q63">
        <f t="shared" si="15"/>
        <v>179</v>
      </c>
      <c r="R63" s="10"/>
      <c r="Z63">
        <v>1.59</v>
      </c>
    </row>
    <row r="64" spans="1:26">
      <c r="A64">
        <f t="shared" si="11"/>
        <v>6</v>
      </c>
      <c r="B64">
        <f t="shared" si="12"/>
        <v>8</v>
      </c>
      <c r="C64">
        <f t="shared" si="13"/>
        <v>58</v>
      </c>
      <c r="D64">
        <v>1.91</v>
      </c>
      <c r="E64">
        <f t="shared" si="6"/>
        <v>684</v>
      </c>
      <c r="F64">
        <f t="shared" si="16"/>
        <v>424</v>
      </c>
      <c r="G64" t="str">
        <f t="shared" si="16"/>
        <v>AC</v>
      </c>
      <c r="H64">
        <f t="shared" si="16"/>
        <v>10</v>
      </c>
      <c r="I64">
        <f t="shared" si="16"/>
        <v>2.4</v>
      </c>
      <c r="J64">
        <f t="shared" si="16"/>
        <v>1669</v>
      </c>
      <c r="K64">
        <f t="shared" si="16"/>
        <v>2218</v>
      </c>
      <c r="L64">
        <f t="shared" si="16"/>
        <v>1.33</v>
      </c>
      <c r="M64">
        <f t="shared" si="16"/>
        <v>563</v>
      </c>
      <c r="N64">
        <f t="shared" si="16"/>
        <v>2899</v>
      </c>
      <c r="O64">
        <f t="shared" si="16"/>
        <v>1.74</v>
      </c>
      <c r="P64">
        <f t="shared" si="15"/>
        <v>737</v>
      </c>
      <c r="Q64">
        <f t="shared" si="15"/>
        <v>174</v>
      </c>
      <c r="R64" s="10"/>
      <c r="Z64">
        <v>675</v>
      </c>
    </row>
    <row r="65" spans="1:26">
      <c r="A65">
        <f t="shared" si="11"/>
        <v>6</v>
      </c>
      <c r="B65">
        <f t="shared" si="12"/>
        <v>9</v>
      </c>
      <c r="C65">
        <f t="shared" si="13"/>
        <v>59</v>
      </c>
      <c r="D65">
        <v>676</v>
      </c>
      <c r="E65">
        <f t="shared" si="6"/>
        <v>696</v>
      </c>
      <c r="F65">
        <f t="shared" si="16"/>
        <v>425</v>
      </c>
      <c r="G65" t="str">
        <f t="shared" si="16"/>
        <v>AC</v>
      </c>
      <c r="H65">
        <f t="shared" si="16"/>
        <v>10</v>
      </c>
      <c r="I65">
        <f t="shared" si="16"/>
        <v>3</v>
      </c>
      <c r="J65">
        <f t="shared" si="16"/>
        <v>1701</v>
      </c>
      <c r="K65">
        <f t="shared" si="16"/>
        <v>3212</v>
      </c>
      <c r="L65">
        <f t="shared" si="16"/>
        <v>1.89</v>
      </c>
      <c r="M65">
        <f t="shared" si="16"/>
        <v>625</v>
      </c>
      <c r="N65">
        <f t="shared" si="16"/>
        <v>3551</v>
      </c>
      <c r="O65">
        <f t="shared" si="16"/>
        <v>2.09</v>
      </c>
      <c r="P65">
        <f t="shared" si="15"/>
        <v>691</v>
      </c>
      <c r="Q65">
        <f t="shared" si="15"/>
        <v>209</v>
      </c>
      <c r="R65" s="10"/>
      <c r="Z65">
        <v>106</v>
      </c>
    </row>
    <row r="66" spans="1:26">
      <c r="A66">
        <f t="shared" si="11"/>
        <v>6</v>
      </c>
      <c r="B66">
        <f t="shared" si="12"/>
        <v>10</v>
      </c>
      <c r="C66">
        <f t="shared" si="13"/>
        <v>60</v>
      </c>
      <c r="D66">
        <v>191</v>
      </c>
      <c r="E66">
        <f t="shared" si="6"/>
        <v>708</v>
      </c>
      <c r="F66">
        <f t="shared" si="16"/>
        <v>426</v>
      </c>
      <c r="G66" t="str">
        <f t="shared" si="16"/>
        <v>AC</v>
      </c>
      <c r="H66">
        <f t="shared" si="16"/>
        <v>10</v>
      </c>
      <c r="I66">
        <f t="shared" si="16"/>
        <v>2.7</v>
      </c>
      <c r="J66">
        <f t="shared" si="16"/>
        <v>1708</v>
      </c>
      <c r="K66">
        <f t="shared" si="16"/>
        <v>2936</v>
      </c>
      <c r="L66">
        <f t="shared" si="16"/>
        <v>1.72</v>
      </c>
      <c r="M66">
        <f t="shared" si="16"/>
        <v>629</v>
      </c>
      <c r="N66">
        <f t="shared" si="16"/>
        <v>3052</v>
      </c>
      <c r="O66">
        <f t="shared" si="16"/>
        <v>1.79</v>
      </c>
      <c r="P66">
        <f t="shared" si="15"/>
        <v>654</v>
      </c>
      <c r="Q66">
        <f t="shared" si="15"/>
        <v>179</v>
      </c>
      <c r="R66" s="10"/>
      <c r="Z66">
        <v>206</v>
      </c>
    </row>
    <row r="67" spans="1:26">
      <c r="A67">
        <f t="shared" si="11"/>
        <v>7</v>
      </c>
      <c r="B67">
        <f t="shared" si="12"/>
        <v>1</v>
      </c>
      <c r="C67">
        <f t="shared" si="13"/>
        <v>61</v>
      </c>
      <c r="D67">
        <v>207</v>
      </c>
      <c r="E67">
        <f t="shared" si="6"/>
        <v>720</v>
      </c>
      <c r="F67">
        <f t="shared" si="16"/>
        <v>427</v>
      </c>
      <c r="G67" t="str">
        <f t="shared" si="16"/>
        <v>AC</v>
      </c>
      <c r="H67">
        <f t="shared" si="16"/>
        <v>10</v>
      </c>
      <c r="I67">
        <f t="shared" si="16"/>
        <v>3</v>
      </c>
      <c r="J67">
        <f t="shared" si="16"/>
        <v>1708</v>
      </c>
      <c r="K67">
        <f t="shared" si="16"/>
        <v>3405</v>
      </c>
      <c r="L67">
        <f t="shared" si="16"/>
        <v>1.99</v>
      </c>
      <c r="M67">
        <f t="shared" si="16"/>
        <v>656</v>
      </c>
      <c r="N67">
        <f t="shared" si="16"/>
        <v>3925</v>
      </c>
      <c r="O67">
        <f t="shared" si="16"/>
        <v>2.2999999999999998</v>
      </c>
      <c r="P67">
        <f t="shared" si="15"/>
        <v>756</v>
      </c>
      <c r="Q67">
        <f t="shared" si="15"/>
        <v>230</v>
      </c>
      <c r="R67" s="10"/>
      <c r="Z67" t="s">
        <v>92</v>
      </c>
    </row>
    <row r="68" spans="1:26">
      <c r="A68">
        <f t="shared" si="11"/>
        <v>7</v>
      </c>
      <c r="B68">
        <f t="shared" si="12"/>
        <v>2</v>
      </c>
      <c r="C68">
        <f t="shared" si="13"/>
        <v>62</v>
      </c>
      <c r="D68" t="s">
        <v>92</v>
      </c>
      <c r="E68">
        <f t="shared" si="6"/>
        <v>732</v>
      </c>
      <c r="Z68">
        <v>10</v>
      </c>
    </row>
    <row r="69" spans="1:26">
      <c r="A69">
        <f t="shared" si="11"/>
        <v>7</v>
      </c>
      <c r="B69">
        <f t="shared" si="12"/>
        <v>3</v>
      </c>
      <c r="C69">
        <f t="shared" si="13"/>
        <v>63</v>
      </c>
      <c r="D69">
        <v>25</v>
      </c>
      <c r="E69">
        <f t="shared" si="6"/>
        <v>744</v>
      </c>
      <c r="H69" s="5"/>
      <c r="Z69">
        <v>2.8</v>
      </c>
    </row>
    <row r="70" spans="1:26">
      <c r="A70">
        <f t="shared" si="11"/>
        <v>7</v>
      </c>
      <c r="B70">
        <f t="shared" si="12"/>
        <v>4</v>
      </c>
      <c r="C70">
        <f t="shared" si="13"/>
        <v>64</v>
      </c>
      <c r="D70">
        <v>8.9</v>
      </c>
      <c r="E70">
        <f t="shared" si="6"/>
        <v>756</v>
      </c>
      <c r="H70" s="5"/>
      <c r="Z70">
        <v>2588</v>
      </c>
    </row>
    <row r="71" spans="1:26">
      <c r="A71">
        <f t="shared" si="11"/>
        <v>7</v>
      </c>
      <c r="B71">
        <f t="shared" si="12"/>
        <v>5</v>
      </c>
      <c r="C71">
        <f t="shared" si="13"/>
        <v>65</v>
      </c>
      <c r="D71">
        <v>1170</v>
      </c>
      <c r="E71">
        <f t="shared" si="6"/>
        <v>768</v>
      </c>
      <c r="H71" s="5"/>
      <c r="Z71">
        <v>5139</v>
      </c>
    </row>
    <row r="72" spans="1:26">
      <c r="A72">
        <f t="shared" si="11"/>
        <v>7</v>
      </c>
      <c r="B72">
        <f t="shared" si="12"/>
        <v>6</v>
      </c>
      <c r="C72">
        <f t="shared" si="13"/>
        <v>66</v>
      </c>
      <c r="D72">
        <v>6099</v>
      </c>
      <c r="E72">
        <f t="shared" si="6"/>
        <v>780</v>
      </c>
      <c r="H72" s="5"/>
      <c r="Z72">
        <v>1.99</v>
      </c>
    </row>
    <row r="73" spans="1:26">
      <c r="A73">
        <f t="shared" si="11"/>
        <v>7</v>
      </c>
      <c r="B73">
        <f t="shared" si="12"/>
        <v>7</v>
      </c>
      <c r="C73">
        <f t="shared" si="13"/>
        <v>67</v>
      </c>
      <c r="D73">
        <v>5.21</v>
      </c>
      <c r="E73">
        <f t="shared" ref="E73:E136" si="17">E72+12</f>
        <v>792</v>
      </c>
      <c r="Z73">
        <v>702</v>
      </c>
    </row>
    <row r="74" spans="1:26">
      <c r="A74">
        <f t="shared" si="11"/>
        <v>7</v>
      </c>
      <c r="B74">
        <f t="shared" si="12"/>
        <v>8</v>
      </c>
      <c r="C74">
        <f t="shared" si="13"/>
        <v>68</v>
      </c>
      <c r="D74">
        <v>588</v>
      </c>
      <c r="E74">
        <f t="shared" si="17"/>
        <v>804</v>
      </c>
      <c r="Z74">
        <v>4951</v>
      </c>
    </row>
    <row r="75" spans="1:26">
      <c r="A75">
        <f t="shared" si="11"/>
        <v>7</v>
      </c>
      <c r="B75">
        <f t="shared" si="12"/>
        <v>9</v>
      </c>
      <c r="C75">
        <f t="shared" si="13"/>
        <v>69</v>
      </c>
      <c r="D75">
        <v>8059</v>
      </c>
      <c r="E75">
        <f t="shared" si="17"/>
        <v>816</v>
      </c>
      <c r="Z75">
        <v>1.91</v>
      </c>
    </row>
    <row r="76" spans="1:26">
      <c r="A76">
        <f t="shared" si="11"/>
        <v>7</v>
      </c>
      <c r="B76">
        <f t="shared" si="12"/>
        <v>10</v>
      </c>
      <c r="C76">
        <f t="shared" si="13"/>
        <v>70</v>
      </c>
      <c r="D76">
        <v>6.89</v>
      </c>
      <c r="E76">
        <f t="shared" si="17"/>
        <v>828</v>
      </c>
      <c r="Z76">
        <v>676</v>
      </c>
    </row>
    <row r="77" spans="1:26">
      <c r="A77">
        <f t="shared" si="11"/>
        <v>8</v>
      </c>
      <c r="B77">
        <f t="shared" si="12"/>
        <v>1</v>
      </c>
      <c r="C77">
        <f t="shared" si="13"/>
        <v>71</v>
      </c>
      <c r="D77">
        <v>777</v>
      </c>
      <c r="E77">
        <f t="shared" si="17"/>
        <v>840</v>
      </c>
      <c r="Z77">
        <v>191</v>
      </c>
    </row>
    <row r="78" spans="1:26">
      <c r="A78">
        <f t="shared" si="11"/>
        <v>8</v>
      </c>
      <c r="B78">
        <f t="shared" si="12"/>
        <v>2</v>
      </c>
      <c r="C78">
        <f t="shared" si="13"/>
        <v>72</v>
      </c>
      <c r="D78">
        <v>276</v>
      </c>
      <c r="E78">
        <f t="shared" si="17"/>
        <v>852</v>
      </c>
      <c r="Z78">
        <v>207</v>
      </c>
    </row>
    <row r="79" spans="1:26">
      <c r="A79">
        <f t="shared" si="11"/>
        <v>8</v>
      </c>
      <c r="B79">
        <f t="shared" si="12"/>
        <v>3</v>
      </c>
      <c r="C79">
        <f t="shared" si="13"/>
        <v>73</v>
      </c>
      <c r="D79">
        <v>209</v>
      </c>
      <c r="E79">
        <f t="shared" si="17"/>
        <v>864</v>
      </c>
      <c r="Z79" t="s">
        <v>92</v>
      </c>
    </row>
    <row r="80" spans="1:26">
      <c r="A80">
        <f t="shared" si="11"/>
        <v>8</v>
      </c>
      <c r="B80">
        <f t="shared" si="12"/>
        <v>4</v>
      </c>
      <c r="C80">
        <f t="shared" si="13"/>
        <v>74</v>
      </c>
      <c r="D80" t="s">
        <v>92</v>
      </c>
      <c r="E80">
        <f t="shared" si="17"/>
        <v>876</v>
      </c>
      <c r="Z80">
        <v>25</v>
      </c>
    </row>
    <row r="81" spans="1:26">
      <c r="A81">
        <f t="shared" si="11"/>
        <v>8</v>
      </c>
      <c r="B81">
        <f t="shared" si="12"/>
        <v>5</v>
      </c>
      <c r="C81">
        <f t="shared" si="13"/>
        <v>75</v>
      </c>
      <c r="D81">
        <v>5</v>
      </c>
      <c r="E81">
        <f t="shared" si="17"/>
        <v>888</v>
      </c>
      <c r="Z81">
        <v>8.9</v>
      </c>
    </row>
    <row r="82" spans="1:26">
      <c r="A82">
        <f t="shared" ref="A82:A145" si="18">A72+1</f>
        <v>8</v>
      </c>
      <c r="B82">
        <f t="shared" ref="B82:B145" si="19">B72</f>
        <v>6</v>
      </c>
      <c r="C82">
        <f t="shared" si="13"/>
        <v>76</v>
      </c>
      <c r="D82">
        <v>0.9</v>
      </c>
      <c r="E82">
        <f t="shared" si="17"/>
        <v>900</v>
      </c>
      <c r="Z82">
        <v>1170</v>
      </c>
    </row>
    <row r="83" spans="1:26">
      <c r="A83">
        <f t="shared" si="18"/>
        <v>8</v>
      </c>
      <c r="B83">
        <f t="shared" si="19"/>
        <v>7</v>
      </c>
      <c r="C83">
        <f t="shared" si="13"/>
        <v>77</v>
      </c>
      <c r="D83">
        <v>3377</v>
      </c>
      <c r="E83">
        <f t="shared" si="17"/>
        <v>912</v>
      </c>
      <c r="Z83">
        <v>6099</v>
      </c>
    </row>
    <row r="84" spans="1:26">
      <c r="A84">
        <f t="shared" si="18"/>
        <v>8</v>
      </c>
      <c r="B84">
        <f t="shared" si="19"/>
        <v>8</v>
      </c>
      <c r="C84">
        <f t="shared" si="13"/>
        <v>78</v>
      </c>
      <c r="D84">
        <v>1067</v>
      </c>
      <c r="E84">
        <f t="shared" si="17"/>
        <v>924</v>
      </c>
      <c r="Z84">
        <v>5.21</v>
      </c>
    </row>
    <row r="85" spans="1:26">
      <c r="A85">
        <f t="shared" si="18"/>
        <v>8</v>
      </c>
      <c r="B85">
        <f t="shared" si="19"/>
        <v>9</v>
      </c>
      <c r="C85">
        <f t="shared" si="13"/>
        <v>79</v>
      </c>
      <c r="D85">
        <v>0.32</v>
      </c>
      <c r="E85">
        <f t="shared" si="17"/>
        <v>936</v>
      </c>
      <c r="Z85">
        <v>588</v>
      </c>
    </row>
    <row r="86" spans="1:26">
      <c r="A86">
        <f t="shared" si="18"/>
        <v>8</v>
      </c>
      <c r="B86">
        <f t="shared" si="19"/>
        <v>10</v>
      </c>
      <c r="C86">
        <f t="shared" si="13"/>
        <v>80</v>
      </c>
      <c r="D86">
        <v>338</v>
      </c>
      <c r="E86">
        <f t="shared" si="17"/>
        <v>948</v>
      </c>
      <c r="Z86">
        <v>8059</v>
      </c>
    </row>
    <row r="87" spans="1:26">
      <c r="A87">
        <f t="shared" si="18"/>
        <v>9</v>
      </c>
      <c r="B87">
        <f t="shared" si="19"/>
        <v>1</v>
      </c>
      <c r="C87">
        <f t="shared" si="13"/>
        <v>81</v>
      </c>
      <c r="D87">
        <v>3443</v>
      </c>
      <c r="E87">
        <f t="shared" si="17"/>
        <v>960</v>
      </c>
      <c r="Z87">
        <v>6.89</v>
      </c>
    </row>
    <row r="88" spans="1:26">
      <c r="A88">
        <f t="shared" si="18"/>
        <v>9</v>
      </c>
      <c r="B88">
        <f t="shared" si="19"/>
        <v>2</v>
      </c>
      <c r="C88">
        <f t="shared" si="13"/>
        <v>82</v>
      </c>
      <c r="D88">
        <v>1.02</v>
      </c>
      <c r="E88">
        <f t="shared" si="17"/>
        <v>972</v>
      </c>
      <c r="Z88">
        <v>777</v>
      </c>
    </row>
    <row r="89" spans="1:26">
      <c r="A89">
        <f t="shared" si="18"/>
        <v>9</v>
      </c>
      <c r="B89">
        <f t="shared" si="19"/>
        <v>3</v>
      </c>
      <c r="C89">
        <f t="shared" ref="C89:C152" si="20">C88+1</f>
        <v>83</v>
      </c>
      <c r="D89">
        <v>1092</v>
      </c>
      <c r="E89">
        <f t="shared" si="17"/>
        <v>984</v>
      </c>
      <c r="Z89">
        <v>276</v>
      </c>
    </row>
    <row r="90" spans="1:26">
      <c r="A90">
        <f t="shared" si="18"/>
        <v>9</v>
      </c>
      <c r="B90">
        <f t="shared" si="19"/>
        <v>4</v>
      </c>
      <c r="C90">
        <f t="shared" si="20"/>
        <v>84</v>
      </c>
      <c r="D90">
        <v>204</v>
      </c>
      <c r="E90">
        <f t="shared" si="17"/>
        <v>996</v>
      </c>
      <c r="Z90">
        <v>209</v>
      </c>
    </row>
    <row r="91" spans="1:26">
      <c r="A91">
        <f t="shared" si="18"/>
        <v>9</v>
      </c>
      <c r="B91">
        <f t="shared" si="19"/>
        <v>5</v>
      </c>
      <c r="C91">
        <f t="shared" si="20"/>
        <v>85</v>
      </c>
      <c r="D91">
        <v>210</v>
      </c>
      <c r="E91">
        <f t="shared" si="17"/>
        <v>1008</v>
      </c>
      <c r="Z91" t="s">
        <v>92</v>
      </c>
    </row>
    <row r="92" spans="1:26">
      <c r="A92">
        <f t="shared" si="18"/>
        <v>9</v>
      </c>
      <c r="B92">
        <f t="shared" si="19"/>
        <v>6</v>
      </c>
      <c r="C92">
        <f t="shared" si="20"/>
        <v>86</v>
      </c>
      <c r="D92" t="s">
        <v>92</v>
      </c>
      <c r="E92">
        <f t="shared" si="17"/>
        <v>1020</v>
      </c>
      <c r="Z92">
        <v>5</v>
      </c>
    </row>
    <row r="93" spans="1:26">
      <c r="A93">
        <f t="shared" si="18"/>
        <v>9</v>
      </c>
      <c r="B93">
        <f t="shared" si="19"/>
        <v>7</v>
      </c>
      <c r="C93">
        <f t="shared" si="20"/>
        <v>87</v>
      </c>
      <c r="D93">
        <v>25</v>
      </c>
      <c r="E93">
        <f t="shared" si="17"/>
        <v>1032</v>
      </c>
      <c r="Z93">
        <v>0.9</v>
      </c>
    </row>
    <row r="94" spans="1:26">
      <c r="A94">
        <f t="shared" si="18"/>
        <v>9</v>
      </c>
      <c r="B94">
        <f t="shared" si="19"/>
        <v>8</v>
      </c>
      <c r="C94">
        <f t="shared" si="20"/>
        <v>88</v>
      </c>
      <c r="D94">
        <v>11.3</v>
      </c>
      <c r="E94">
        <f t="shared" si="17"/>
        <v>1044</v>
      </c>
      <c r="Z94">
        <v>3377</v>
      </c>
    </row>
    <row r="95" spans="1:26">
      <c r="A95">
        <f t="shared" si="18"/>
        <v>9</v>
      </c>
      <c r="B95">
        <f t="shared" si="19"/>
        <v>9</v>
      </c>
      <c r="C95">
        <f t="shared" si="20"/>
        <v>89</v>
      </c>
      <c r="D95">
        <v>2109</v>
      </c>
      <c r="E95">
        <f t="shared" si="17"/>
        <v>1056</v>
      </c>
      <c r="Z95">
        <v>1067</v>
      </c>
    </row>
    <row r="96" spans="1:26">
      <c r="A96">
        <f t="shared" si="18"/>
        <v>9</v>
      </c>
      <c r="B96">
        <f t="shared" si="19"/>
        <v>10</v>
      </c>
      <c r="C96">
        <f t="shared" si="20"/>
        <v>90</v>
      </c>
      <c r="D96">
        <v>14005</v>
      </c>
      <c r="E96">
        <f t="shared" si="17"/>
        <v>1068</v>
      </c>
      <c r="Z96">
        <v>0.32</v>
      </c>
    </row>
    <row r="97" spans="1:26">
      <c r="A97">
        <f t="shared" si="18"/>
        <v>10</v>
      </c>
      <c r="B97">
        <f t="shared" si="19"/>
        <v>1</v>
      </c>
      <c r="C97">
        <f t="shared" si="20"/>
        <v>91</v>
      </c>
      <c r="D97">
        <v>6.64</v>
      </c>
      <c r="E97">
        <f t="shared" si="17"/>
        <v>1080</v>
      </c>
      <c r="Z97">
        <v>338</v>
      </c>
    </row>
    <row r="98" spans="1:26">
      <c r="A98">
        <f t="shared" si="18"/>
        <v>10</v>
      </c>
      <c r="B98">
        <f t="shared" si="19"/>
        <v>2</v>
      </c>
      <c r="C98">
        <f t="shared" si="20"/>
        <v>92</v>
      </c>
      <c r="D98">
        <v>589</v>
      </c>
      <c r="E98">
        <f t="shared" si="17"/>
        <v>1092</v>
      </c>
      <c r="Z98">
        <v>3443</v>
      </c>
    </row>
    <row r="99" spans="1:26">
      <c r="A99">
        <f t="shared" si="18"/>
        <v>10</v>
      </c>
      <c r="B99">
        <f t="shared" si="19"/>
        <v>3</v>
      </c>
      <c r="C99">
        <f t="shared" si="20"/>
        <v>93</v>
      </c>
      <c r="D99">
        <v>13201</v>
      </c>
      <c r="E99">
        <f t="shared" si="17"/>
        <v>1104</v>
      </c>
      <c r="Z99">
        <v>1.02</v>
      </c>
    </row>
    <row r="100" spans="1:26">
      <c r="A100">
        <f t="shared" si="18"/>
        <v>10</v>
      </c>
      <c r="B100">
        <f t="shared" si="19"/>
        <v>4</v>
      </c>
      <c r="C100">
        <f t="shared" si="20"/>
        <v>94</v>
      </c>
      <c r="D100">
        <v>6.26</v>
      </c>
      <c r="E100">
        <f t="shared" si="17"/>
        <v>1116</v>
      </c>
      <c r="Z100">
        <v>1092</v>
      </c>
    </row>
    <row r="101" spans="1:26">
      <c r="A101">
        <f t="shared" si="18"/>
        <v>10</v>
      </c>
      <c r="B101">
        <f t="shared" si="19"/>
        <v>5</v>
      </c>
      <c r="C101">
        <f t="shared" si="20"/>
        <v>95</v>
      </c>
      <c r="D101">
        <v>555</v>
      </c>
      <c r="E101">
        <f t="shared" si="17"/>
        <v>1128</v>
      </c>
      <c r="Z101">
        <v>204</v>
      </c>
    </row>
    <row r="102" spans="1:26">
      <c r="A102">
        <f t="shared" si="18"/>
        <v>10</v>
      </c>
      <c r="B102">
        <f t="shared" si="19"/>
        <v>6</v>
      </c>
      <c r="C102">
        <f t="shared" si="20"/>
        <v>96</v>
      </c>
      <c r="D102">
        <v>250</v>
      </c>
      <c r="E102">
        <f t="shared" si="17"/>
        <v>1140</v>
      </c>
      <c r="Z102">
        <v>210</v>
      </c>
    </row>
    <row r="103" spans="1:26">
      <c r="A103">
        <f t="shared" si="18"/>
        <v>10</v>
      </c>
      <c r="B103">
        <f t="shared" si="19"/>
        <v>7</v>
      </c>
      <c r="C103">
        <f t="shared" si="20"/>
        <v>97</v>
      </c>
      <c r="D103">
        <v>212</v>
      </c>
      <c r="E103">
        <f t="shared" si="17"/>
        <v>1152</v>
      </c>
      <c r="Z103" t="s">
        <v>92</v>
      </c>
    </row>
    <row r="104" spans="1:26">
      <c r="A104">
        <f t="shared" si="18"/>
        <v>10</v>
      </c>
      <c r="B104">
        <f t="shared" si="19"/>
        <v>8</v>
      </c>
      <c r="C104">
        <f t="shared" si="20"/>
        <v>98</v>
      </c>
      <c r="D104" t="s">
        <v>92</v>
      </c>
      <c r="E104">
        <f t="shared" si="17"/>
        <v>1164</v>
      </c>
      <c r="Z104">
        <v>25</v>
      </c>
    </row>
    <row r="105" spans="1:26">
      <c r="A105">
        <f t="shared" si="18"/>
        <v>10</v>
      </c>
      <c r="B105">
        <f t="shared" si="19"/>
        <v>9</v>
      </c>
      <c r="C105">
        <f t="shared" si="20"/>
        <v>99</v>
      </c>
      <c r="D105">
        <v>25</v>
      </c>
      <c r="E105">
        <f t="shared" si="17"/>
        <v>1176</v>
      </c>
      <c r="Z105">
        <v>11.3</v>
      </c>
    </row>
    <row r="106" spans="1:26">
      <c r="A106">
        <f t="shared" si="18"/>
        <v>10</v>
      </c>
      <c r="B106">
        <f t="shared" si="19"/>
        <v>10</v>
      </c>
      <c r="C106">
        <f t="shared" si="20"/>
        <v>100</v>
      </c>
      <c r="D106">
        <v>9.4</v>
      </c>
      <c r="E106">
        <f t="shared" si="17"/>
        <v>1188</v>
      </c>
      <c r="Z106">
        <v>2109</v>
      </c>
    </row>
    <row r="107" spans="1:26">
      <c r="A107">
        <f t="shared" si="18"/>
        <v>11</v>
      </c>
      <c r="B107">
        <f t="shared" si="19"/>
        <v>1</v>
      </c>
      <c r="C107">
        <f t="shared" si="20"/>
        <v>101</v>
      </c>
      <c r="D107">
        <v>3605</v>
      </c>
      <c r="E107">
        <f t="shared" si="17"/>
        <v>1200</v>
      </c>
      <c r="Z107">
        <v>14005</v>
      </c>
    </row>
    <row r="108" spans="1:26">
      <c r="A108">
        <f t="shared" si="18"/>
        <v>11</v>
      </c>
      <c r="B108">
        <f t="shared" si="19"/>
        <v>2</v>
      </c>
      <c r="C108">
        <f t="shared" si="20"/>
        <v>102</v>
      </c>
      <c r="D108">
        <v>15242</v>
      </c>
      <c r="E108">
        <f t="shared" si="17"/>
        <v>1212</v>
      </c>
      <c r="Z108">
        <v>6.64</v>
      </c>
    </row>
    <row r="109" spans="1:26">
      <c r="A109">
        <f t="shared" si="18"/>
        <v>11</v>
      </c>
      <c r="B109">
        <f t="shared" si="19"/>
        <v>3</v>
      </c>
      <c r="C109">
        <f t="shared" si="20"/>
        <v>103</v>
      </c>
      <c r="D109">
        <v>4.2300000000000004</v>
      </c>
      <c r="E109">
        <f t="shared" si="17"/>
        <v>1224</v>
      </c>
      <c r="Z109">
        <v>589</v>
      </c>
    </row>
    <row r="110" spans="1:26">
      <c r="A110">
        <f t="shared" si="18"/>
        <v>11</v>
      </c>
      <c r="B110">
        <f t="shared" si="19"/>
        <v>4</v>
      </c>
      <c r="C110">
        <f t="shared" si="20"/>
        <v>104</v>
      </c>
      <c r="D110">
        <v>448</v>
      </c>
      <c r="E110">
        <f t="shared" si="17"/>
        <v>1236</v>
      </c>
      <c r="Z110">
        <v>13201</v>
      </c>
    </row>
    <row r="111" spans="1:26">
      <c r="A111">
        <f t="shared" si="18"/>
        <v>11</v>
      </c>
      <c r="B111">
        <f t="shared" si="19"/>
        <v>5</v>
      </c>
      <c r="C111">
        <f t="shared" si="20"/>
        <v>105</v>
      </c>
      <c r="D111">
        <v>27690</v>
      </c>
      <c r="E111">
        <f t="shared" si="17"/>
        <v>1248</v>
      </c>
      <c r="Z111">
        <v>6.26</v>
      </c>
    </row>
    <row r="112" spans="1:26">
      <c r="A112">
        <f t="shared" si="18"/>
        <v>11</v>
      </c>
      <c r="B112">
        <f t="shared" si="19"/>
        <v>6</v>
      </c>
      <c r="C112">
        <f t="shared" si="20"/>
        <v>106</v>
      </c>
      <c r="D112">
        <v>7.68</v>
      </c>
      <c r="E112">
        <f t="shared" si="17"/>
        <v>1260</v>
      </c>
      <c r="Z112">
        <v>555</v>
      </c>
    </row>
    <row r="113" spans="1:26">
      <c r="A113">
        <f t="shared" si="18"/>
        <v>11</v>
      </c>
      <c r="B113">
        <f t="shared" si="19"/>
        <v>7</v>
      </c>
      <c r="C113">
        <f t="shared" si="20"/>
        <v>107</v>
      </c>
      <c r="D113">
        <v>814</v>
      </c>
      <c r="E113">
        <f t="shared" si="17"/>
        <v>1272</v>
      </c>
      <c r="Z113">
        <v>250</v>
      </c>
    </row>
    <row r="114" spans="1:26">
      <c r="A114">
        <f t="shared" si="18"/>
        <v>11</v>
      </c>
      <c r="B114">
        <f t="shared" si="19"/>
        <v>8</v>
      </c>
      <c r="C114">
        <f t="shared" si="20"/>
        <v>108</v>
      </c>
      <c r="D114">
        <v>307</v>
      </c>
      <c r="E114">
        <f t="shared" si="17"/>
        <v>1284</v>
      </c>
      <c r="Z114">
        <v>212</v>
      </c>
    </row>
    <row r="115" spans="1:26">
      <c r="A115">
        <f t="shared" si="18"/>
        <v>11</v>
      </c>
      <c r="B115">
        <f t="shared" si="19"/>
        <v>9</v>
      </c>
      <c r="C115">
        <f t="shared" si="20"/>
        <v>109</v>
      </c>
      <c r="D115">
        <v>213</v>
      </c>
      <c r="E115">
        <f t="shared" si="17"/>
        <v>1296</v>
      </c>
      <c r="Z115" t="s">
        <v>92</v>
      </c>
    </row>
    <row r="116" spans="1:26">
      <c r="A116">
        <f t="shared" si="18"/>
        <v>11</v>
      </c>
      <c r="B116">
        <f t="shared" si="19"/>
        <v>10</v>
      </c>
      <c r="C116">
        <f t="shared" si="20"/>
        <v>110</v>
      </c>
      <c r="D116" t="s">
        <v>92</v>
      </c>
      <c r="E116">
        <f t="shared" si="17"/>
        <v>1308</v>
      </c>
      <c r="Z116">
        <v>25</v>
      </c>
    </row>
    <row r="117" spans="1:26">
      <c r="A117">
        <f t="shared" si="18"/>
        <v>12</v>
      </c>
      <c r="B117">
        <f t="shared" si="19"/>
        <v>1</v>
      </c>
      <c r="C117">
        <f t="shared" si="20"/>
        <v>111</v>
      </c>
      <c r="D117">
        <v>15</v>
      </c>
      <c r="E117">
        <f t="shared" si="17"/>
        <v>1320</v>
      </c>
      <c r="Z117">
        <v>9.4</v>
      </c>
    </row>
    <row r="118" spans="1:26">
      <c r="A118">
        <f t="shared" si="18"/>
        <v>12</v>
      </c>
      <c r="B118">
        <f t="shared" si="19"/>
        <v>2</v>
      </c>
      <c r="C118">
        <f t="shared" si="20"/>
        <v>112</v>
      </c>
      <c r="D118">
        <v>3.8</v>
      </c>
      <c r="E118">
        <f t="shared" si="17"/>
        <v>1332</v>
      </c>
      <c r="Z118">
        <v>3605</v>
      </c>
    </row>
    <row r="119" spans="1:26">
      <c r="A119">
        <f t="shared" si="18"/>
        <v>12</v>
      </c>
      <c r="B119">
        <f t="shared" si="19"/>
        <v>3</v>
      </c>
      <c r="C119">
        <f t="shared" si="20"/>
        <v>113</v>
      </c>
      <c r="D119">
        <v>3522</v>
      </c>
      <c r="E119">
        <f t="shared" si="17"/>
        <v>1344</v>
      </c>
      <c r="Z119">
        <v>15242</v>
      </c>
    </row>
    <row r="120" spans="1:26">
      <c r="A120">
        <f t="shared" si="18"/>
        <v>12</v>
      </c>
      <c r="B120">
        <f t="shared" si="19"/>
        <v>4</v>
      </c>
      <c r="C120">
        <f t="shared" si="20"/>
        <v>114</v>
      </c>
      <c r="D120">
        <v>9191</v>
      </c>
      <c r="E120">
        <f t="shared" si="17"/>
        <v>1356</v>
      </c>
      <c r="Z120">
        <v>4.2300000000000004</v>
      </c>
    </row>
    <row r="121" spans="1:26">
      <c r="A121">
        <f t="shared" si="18"/>
        <v>12</v>
      </c>
      <c r="B121">
        <f t="shared" si="19"/>
        <v>5</v>
      </c>
      <c r="C121">
        <f t="shared" si="20"/>
        <v>115</v>
      </c>
      <c r="D121">
        <v>2.61</v>
      </c>
      <c r="E121">
        <f t="shared" si="17"/>
        <v>1368</v>
      </c>
      <c r="Z121">
        <v>448</v>
      </c>
    </row>
    <row r="122" spans="1:26">
      <c r="A122">
        <f t="shared" si="18"/>
        <v>12</v>
      </c>
      <c r="B122">
        <f t="shared" si="19"/>
        <v>6</v>
      </c>
      <c r="C122">
        <f t="shared" si="20"/>
        <v>116</v>
      </c>
      <c r="D122">
        <v>686</v>
      </c>
      <c r="E122">
        <f t="shared" si="17"/>
        <v>1380</v>
      </c>
      <c r="Z122">
        <v>27690</v>
      </c>
    </row>
    <row r="123" spans="1:26">
      <c r="A123">
        <f t="shared" si="18"/>
        <v>12</v>
      </c>
      <c r="B123">
        <f t="shared" si="19"/>
        <v>7</v>
      </c>
      <c r="C123">
        <f t="shared" si="20"/>
        <v>117</v>
      </c>
      <c r="D123">
        <v>9726</v>
      </c>
      <c r="E123">
        <f t="shared" si="17"/>
        <v>1392</v>
      </c>
      <c r="Z123">
        <v>7.68</v>
      </c>
    </row>
    <row r="124" spans="1:26">
      <c r="A124">
        <f t="shared" si="18"/>
        <v>12</v>
      </c>
      <c r="B124">
        <f t="shared" si="19"/>
        <v>8</v>
      </c>
      <c r="C124">
        <f t="shared" si="20"/>
        <v>118</v>
      </c>
      <c r="D124">
        <v>2.76</v>
      </c>
      <c r="E124">
        <f t="shared" si="17"/>
        <v>1404</v>
      </c>
      <c r="Z124">
        <v>814</v>
      </c>
    </row>
    <row r="125" spans="1:26">
      <c r="A125">
        <f t="shared" si="18"/>
        <v>12</v>
      </c>
      <c r="B125">
        <f t="shared" si="19"/>
        <v>9</v>
      </c>
      <c r="C125">
        <f t="shared" si="20"/>
        <v>119</v>
      </c>
      <c r="D125">
        <v>726</v>
      </c>
      <c r="E125">
        <f t="shared" si="17"/>
        <v>1416</v>
      </c>
      <c r="Z125">
        <v>307</v>
      </c>
    </row>
    <row r="126" spans="1:26">
      <c r="A126">
        <f t="shared" si="18"/>
        <v>12</v>
      </c>
      <c r="B126">
        <f t="shared" si="19"/>
        <v>10</v>
      </c>
      <c r="C126">
        <f t="shared" si="20"/>
        <v>120</v>
      </c>
      <c r="D126">
        <v>184</v>
      </c>
      <c r="E126">
        <f t="shared" si="17"/>
        <v>1428</v>
      </c>
      <c r="Z126">
        <v>213</v>
      </c>
    </row>
    <row r="127" spans="1:26">
      <c r="A127">
        <f t="shared" si="18"/>
        <v>13</v>
      </c>
      <c r="B127">
        <f t="shared" si="19"/>
        <v>1</v>
      </c>
      <c r="C127">
        <f t="shared" si="20"/>
        <v>121</v>
      </c>
      <c r="D127">
        <v>214</v>
      </c>
      <c r="E127">
        <f t="shared" si="17"/>
        <v>1440</v>
      </c>
      <c r="Z127" t="s">
        <v>92</v>
      </c>
    </row>
    <row r="128" spans="1:26">
      <c r="A128">
        <f t="shared" si="18"/>
        <v>13</v>
      </c>
      <c r="B128">
        <f t="shared" si="19"/>
        <v>2</v>
      </c>
      <c r="C128">
        <f t="shared" si="20"/>
        <v>122</v>
      </c>
      <c r="D128" t="s">
        <v>92</v>
      </c>
      <c r="E128">
        <f t="shared" si="17"/>
        <v>1452</v>
      </c>
      <c r="Z128">
        <v>15</v>
      </c>
    </row>
    <row r="129" spans="1:26">
      <c r="A129">
        <f t="shared" si="18"/>
        <v>13</v>
      </c>
      <c r="B129">
        <f t="shared" si="19"/>
        <v>3</v>
      </c>
      <c r="C129">
        <f t="shared" si="20"/>
        <v>123</v>
      </c>
      <c r="D129">
        <v>10</v>
      </c>
      <c r="E129">
        <f t="shared" si="17"/>
        <v>1464</v>
      </c>
      <c r="Z129">
        <v>3.8</v>
      </c>
    </row>
    <row r="130" spans="1:26">
      <c r="A130">
        <f t="shared" si="18"/>
        <v>13</v>
      </c>
      <c r="B130">
        <f t="shared" si="19"/>
        <v>4</v>
      </c>
      <c r="C130">
        <f t="shared" si="20"/>
        <v>124</v>
      </c>
      <c r="D130">
        <v>1.6</v>
      </c>
      <c r="E130">
        <f t="shared" si="17"/>
        <v>1476</v>
      </c>
      <c r="Z130">
        <v>3522</v>
      </c>
    </row>
    <row r="131" spans="1:26">
      <c r="A131">
        <f t="shared" si="18"/>
        <v>13</v>
      </c>
      <c r="B131">
        <f t="shared" si="19"/>
        <v>5</v>
      </c>
      <c r="C131">
        <f t="shared" si="20"/>
        <v>125</v>
      </c>
      <c r="D131">
        <v>2827</v>
      </c>
      <c r="E131">
        <f t="shared" si="17"/>
        <v>1488</v>
      </c>
      <c r="Z131">
        <v>9191</v>
      </c>
    </row>
    <row r="132" spans="1:26">
      <c r="A132">
        <f t="shared" si="18"/>
        <v>13</v>
      </c>
      <c r="B132">
        <f t="shared" si="19"/>
        <v>6</v>
      </c>
      <c r="C132">
        <f t="shared" si="20"/>
        <v>126</v>
      </c>
      <c r="D132">
        <v>2627</v>
      </c>
      <c r="E132">
        <f t="shared" si="17"/>
        <v>1500</v>
      </c>
      <c r="Z132">
        <v>2.61</v>
      </c>
    </row>
    <row r="133" spans="1:26">
      <c r="A133">
        <f t="shared" si="18"/>
        <v>13</v>
      </c>
      <c r="B133">
        <f t="shared" si="19"/>
        <v>7</v>
      </c>
      <c r="C133">
        <f t="shared" si="20"/>
        <v>127</v>
      </c>
      <c r="D133">
        <v>0.93</v>
      </c>
      <c r="E133">
        <f t="shared" si="17"/>
        <v>1512</v>
      </c>
      <c r="Z133">
        <v>686</v>
      </c>
    </row>
    <row r="134" spans="1:26">
      <c r="A134">
        <f t="shared" si="18"/>
        <v>13</v>
      </c>
      <c r="B134">
        <f t="shared" si="19"/>
        <v>8</v>
      </c>
      <c r="C134">
        <f t="shared" si="20"/>
        <v>128</v>
      </c>
      <c r="D134">
        <v>592</v>
      </c>
      <c r="E134">
        <f t="shared" si="17"/>
        <v>1524</v>
      </c>
      <c r="Z134">
        <v>9726</v>
      </c>
    </row>
    <row r="135" spans="1:26">
      <c r="A135">
        <f t="shared" si="18"/>
        <v>13</v>
      </c>
      <c r="B135">
        <f t="shared" si="19"/>
        <v>9</v>
      </c>
      <c r="C135">
        <f t="shared" si="20"/>
        <v>129</v>
      </c>
      <c r="D135">
        <v>5079</v>
      </c>
      <c r="E135">
        <f t="shared" si="17"/>
        <v>1536</v>
      </c>
      <c r="Z135">
        <v>2.76</v>
      </c>
    </row>
    <row r="136" spans="1:26">
      <c r="A136">
        <f t="shared" si="18"/>
        <v>13</v>
      </c>
      <c r="B136">
        <f t="shared" si="19"/>
        <v>10</v>
      </c>
      <c r="C136">
        <f t="shared" si="20"/>
        <v>130</v>
      </c>
      <c r="D136">
        <v>1.8</v>
      </c>
      <c r="E136">
        <f t="shared" si="17"/>
        <v>1548</v>
      </c>
      <c r="Z136">
        <v>726</v>
      </c>
    </row>
    <row r="137" spans="1:26">
      <c r="A137">
        <f t="shared" si="18"/>
        <v>14</v>
      </c>
      <c r="B137">
        <f t="shared" si="19"/>
        <v>1</v>
      </c>
      <c r="C137">
        <f t="shared" si="20"/>
        <v>131</v>
      </c>
      <c r="D137">
        <v>1145</v>
      </c>
      <c r="E137">
        <f t="shared" ref="E137:E200" si="21">E136+12</f>
        <v>1560</v>
      </c>
      <c r="Z137">
        <v>184</v>
      </c>
    </row>
    <row r="138" spans="1:26">
      <c r="A138">
        <f t="shared" si="18"/>
        <v>14</v>
      </c>
      <c r="B138">
        <f t="shared" si="19"/>
        <v>2</v>
      </c>
      <c r="C138">
        <f t="shared" si="20"/>
        <v>132</v>
      </c>
      <c r="D138">
        <v>180</v>
      </c>
      <c r="E138">
        <f t="shared" si="21"/>
        <v>1572</v>
      </c>
      <c r="Z138">
        <v>214</v>
      </c>
    </row>
    <row r="139" spans="1:26">
      <c r="A139">
        <f t="shared" si="18"/>
        <v>14</v>
      </c>
      <c r="B139">
        <f t="shared" si="19"/>
        <v>3</v>
      </c>
      <c r="C139">
        <f t="shared" si="20"/>
        <v>133</v>
      </c>
      <c r="D139">
        <v>215</v>
      </c>
      <c r="E139">
        <f t="shared" si="21"/>
        <v>1584</v>
      </c>
      <c r="Z139" t="s">
        <v>92</v>
      </c>
    </row>
    <row r="140" spans="1:26">
      <c r="A140">
        <f t="shared" si="18"/>
        <v>14</v>
      </c>
      <c r="B140">
        <f t="shared" si="19"/>
        <v>4</v>
      </c>
      <c r="C140">
        <f t="shared" si="20"/>
        <v>134</v>
      </c>
      <c r="D140" t="s">
        <v>92</v>
      </c>
      <c r="E140">
        <f t="shared" si="21"/>
        <v>1596</v>
      </c>
      <c r="Z140">
        <v>10</v>
      </c>
    </row>
    <row r="141" spans="1:26">
      <c r="A141">
        <f t="shared" si="18"/>
        <v>14</v>
      </c>
      <c r="B141">
        <f t="shared" si="19"/>
        <v>5</v>
      </c>
      <c r="C141">
        <f t="shared" si="20"/>
        <v>135</v>
      </c>
      <c r="D141">
        <v>10</v>
      </c>
      <c r="E141">
        <f t="shared" si="21"/>
        <v>1608</v>
      </c>
      <c r="Z141">
        <v>1.6</v>
      </c>
    </row>
    <row r="142" spans="1:26">
      <c r="A142">
        <f t="shared" si="18"/>
        <v>14</v>
      </c>
      <c r="B142">
        <f t="shared" si="19"/>
        <v>6</v>
      </c>
      <c r="C142">
        <f t="shared" si="20"/>
        <v>136</v>
      </c>
      <c r="D142">
        <v>2.5</v>
      </c>
      <c r="E142">
        <f t="shared" si="21"/>
        <v>1620</v>
      </c>
      <c r="Z142">
        <v>2827</v>
      </c>
    </row>
    <row r="143" spans="1:26">
      <c r="A143">
        <f t="shared" si="18"/>
        <v>14</v>
      </c>
      <c r="B143">
        <f t="shared" si="19"/>
        <v>7</v>
      </c>
      <c r="C143">
        <f t="shared" si="20"/>
        <v>137</v>
      </c>
      <c r="D143">
        <v>3406</v>
      </c>
      <c r="E143">
        <f t="shared" si="21"/>
        <v>1632</v>
      </c>
      <c r="Z143">
        <v>2627</v>
      </c>
    </row>
    <row r="144" spans="1:26">
      <c r="A144">
        <f t="shared" si="18"/>
        <v>14</v>
      </c>
      <c r="B144">
        <f t="shared" si="19"/>
        <v>8</v>
      </c>
      <c r="C144">
        <f t="shared" si="20"/>
        <v>138</v>
      </c>
      <c r="D144">
        <v>5578</v>
      </c>
      <c r="E144">
        <f t="shared" si="21"/>
        <v>1644</v>
      </c>
      <c r="Z144">
        <v>0.93</v>
      </c>
    </row>
    <row r="145" spans="1:26">
      <c r="A145">
        <f t="shared" si="18"/>
        <v>14</v>
      </c>
      <c r="B145">
        <f t="shared" si="19"/>
        <v>9</v>
      </c>
      <c r="C145">
        <f t="shared" si="20"/>
        <v>139</v>
      </c>
      <c r="D145">
        <v>1.64</v>
      </c>
      <c r="E145">
        <f t="shared" si="21"/>
        <v>1656</v>
      </c>
      <c r="Z145">
        <v>592</v>
      </c>
    </row>
    <row r="146" spans="1:26">
      <c r="A146">
        <f t="shared" ref="A146:A209" si="22">A136+1</f>
        <v>14</v>
      </c>
      <c r="B146">
        <f t="shared" ref="B146:B209" si="23">B136</f>
        <v>10</v>
      </c>
      <c r="C146">
        <f t="shared" si="20"/>
        <v>140</v>
      </c>
      <c r="D146">
        <v>665</v>
      </c>
      <c r="E146">
        <f t="shared" si="21"/>
        <v>1668</v>
      </c>
      <c r="Z146">
        <v>5079</v>
      </c>
    </row>
    <row r="147" spans="1:26">
      <c r="A147">
        <f t="shared" si="22"/>
        <v>15</v>
      </c>
      <c r="B147">
        <f t="shared" si="23"/>
        <v>1</v>
      </c>
      <c r="C147">
        <f t="shared" si="20"/>
        <v>141</v>
      </c>
      <c r="D147">
        <v>5526</v>
      </c>
      <c r="E147">
        <f t="shared" si="21"/>
        <v>1680</v>
      </c>
      <c r="Z147">
        <v>1.8</v>
      </c>
    </row>
    <row r="148" spans="1:26">
      <c r="A148">
        <f t="shared" si="22"/>
        <v>15</v>
      </c>
      <c r="B148">
        <f t="shared" si="23"/>
        <v>2</v>
      </c>
      <c r="C148">
        <f t="shared" si="20"/>
        <v>142</v>
      </c>
      <c r="D148">
        <v>1.62</v>
      </c>
      <c r="E148">
        <f t="shared" si="21"/>
        <v>1692</v>
      </c>
      <c r="Z148">
        <v>1145</v>
      </c>
    </row>
    <row r="149" spans="1:26">
      <c r="A149">
        <f t="shared" si="22"/>
        <v>15</v>
      </c>
      <c r="B149">
        <f t="shared" si="23"/>
        <v>3</v>
      </c>
      <c r="C149">
        <f t="shared" si="20"/>
        <v>143</v>
      </c>
      <c r="D149">
        <v>658</v>
      </c>
      <c r="E149">
        <f t="shared" si="21"/>
        <v>1704</v>
      </c>
      <c r="Z149">
        <v>180</v>
      </c>
    </row>
    <row r="150" spans="1:26">
      <c r="A150">
        <f t="shared" si="22"/>
        <v>15</v>
      </c>
      <c r="B150">
        <f t="shared" si="23"/>
        <v>4</v>
      </c>
      <c r="C150">
        <f t="shared" si="20"/>
        <v>144</v>
      </c>
      <c r="D150">
        <v>162</v>
      </c>
      <c r="E150">
        <f t="shared" si="21"/>
        <v>1716</v>
      </c>
      <c r="Z150">
        <v>215</v>
      </c>
    </row>
    <row r="151" spans="1:26">
      <c r="A151">
        <f t="shared" si="22"/>
        <v>15</v>
      </c>
      <c r="B151">
        <f t="shared" si="23"/>
        <v>5</v>
      </c>
      <c r="C151">
        <f t="shared" si="20"/>
        <v>145</v>
      </c>
      <c r="D151">
        <v>217</v>
      </c>
      <c r="E151">
        <f t="shared" si="21"/>
        <v>1728</v>
      </c>
      <c r="Z151" t="s">
        <v>92</v>
      </c>
    </row>
    <row r="152" spans="1:26">
      <c r="A152">
        <f t="shared" si="22"/>
        <v>15</v>
      </c>
      <c r="B152">
        <f t="shared" si="23"/>
        <v>6</v>
      </c>
      <c r="C152">
        <f t="shared" si="20"/>
        <v>146</v>
      </c>
      <c r="D152" t="s">
        <v>92</v>
      </c>
      <c r="E152">
        <f t="shared" si="21"/>
        <v>1740</v>
      </c>
      <c r="Z152">
        <v>10</v>
      </c>
    </row>
    <row r="153" spans="1:26">
      <c r="A153">
        <f t="shared" si="22"/>
        <v>15</v>
      </c>
      <c r="B153">
        <f t="shared" si="23"/>
        <v>7</v>
      </c>
      <c r="C153">
        <f t="shared" ref="C153:C216" si="24">C152+1</f>
        <v>147</v>
      </c>
      <c r="D153">
        <v>10</v>
      </c>
      <c r="E153">
        <f t="shared" si="21"/>
        <v>1752</v>
      </c>
      <c r="Z153">
        <v>2.5</v>
      </c>
    </row>
    <row r="154" spans="1:26">
      <c r="A154">
        <f t="shared" si="22"/>
        <v>15</v>
      </c>
      <c r="B154">
        <f t="shared" si="23"/>
        <v>8</v>
      </c>
      <c r="C154">
        <f t="shared" si="24"/>
        <v>148</v>
      </c>
      <c r="D154">
        <v>2.6</v>
      </c>
      <c r="E154">
        <f t="shared" si="21"/>
        <v>1764</v>
      </c>
      <c r="Z154">
        <v>3406</v>
      </c>
    </row>
    <row r="155" spans="1:26">
      <c r="A155">
        <f t="shared" si="22"/>
        <v>15</v>
      </c>
      <c r="B155">
        <f t="shared" si="23"/>
        <v>9</v>
      </c>
      <c r="C155">
        <f t="shared" si="24"/>
        <v>149</v>
      </c>
      <c r="D155">
        <v>3714</v>
      </c>
      <c r="E155">
        <f t="shared" si="21"/>
        <v>1776</v>
      </c>
      <c r="Z155">
        <v>5578</v>
      </c>
    </row>
    <row r="156" spans="1:26">
      <c r="A156">
        <f t="shared" si="22"/>
        <v>15</v>
      </c>
      <c r="B156">
        <f t="shared" si="23"/>
        <v>10</v>
      </c>
      <c r="C156">
        <f t="shared" si="24"/>
        <v>150</v>
      </c>
      <c r="D156">
        <v>5835</v>
      </c>
      <c r="E156">
        <f t="shared" si="21"/>
        <v>1788</v>
      </c>
      <c r="Z156">
        <v>1.64</v>
      </c>
    </row>
    <row r="157" spans="1:26">
      <c r="A157">
        <f t="shared" si="22"/>
        <v>16</v>
      </c>
      <c r="B157">
        <f t="shared" si="23"/>
        <v>1</v>
      </c>
      <c r="C157">
        <f t="shared" si="24"/>
        <v>151</v>
      </c>
      <c r="D157">
        <v>1.57</v>
      </c>
      <c r="E157">
        <f t="shared" si="21"/>
        <v>1800</v>
      </c>
      <c r="Z157">
        <v>665</v>
      </c>
    </row>
    <row r="158" spans="1:26">
      <c r="A158">
        <f t="shared" si="22"/>
        <v>16</v>
      </c>
      <c r="B158">
        <f t="shared" si="23"/>
        <v>2</v>
      </c>
      <c r="C158">
        <f t="shared" si="24"/>
        <v>152</v>
      </c>
      <c r="D158">
        <v>613</v>
      </c>
      <c r="E158">
        <f t="shared" si="21"/>
        <v>1812</v>
      </c>
      <c r="Z158">
        <v>5526</v>
      </c>
    </row>
    <row r="159" spans="1:26">
      <c r="A159">
        <f t="shared" si="22"/>
        <v>16</v>
      </c>
      <c r="B159">
        <f t="shared" si="23"/>
        <v>3</v>
      </c>
      <c r="C159">
        <f t="shared" si="24"/>
        <v>153</v>
      </c>
      <c r="D159">
        <v>5916</v>
      </c>
      <c r="E159">
        <f t="shared" si="21"/>
        <v>1824</v>
      </c>
      <c r="Z159">
        <v>1.62</v>
      </c>
    </row>
    <row r="160" spans="1:26">
      <c r="A160">
        <f t="shared" si="22"/>
        <v>16</v>
      </c>
      <c r="B160">
        <f t="shared" si="23"/>
        <v>4</v>
      </c>
      <c r="C160">
        <f t="shared" si="24"/>
        <v>154</v>
      </c>
      <c r="D160">
        <v>1.59</v>
      </c>
      <c r="E160">
        <f t="shared" si="21"/>
        <v>1836</v>
      </c>
      <c r="Z160">
        <v>658</v>
      </c>
    </row>
    <row r="161" spans="1:26">
      <c r="A161">
        <f t="shared" si="22"/>
        <v>16</v>
      </c>
      <c r="B161">
        <f t="shared" si="23"/>
        <v>5</v>
      </c>
      <c r="C161">
        <f t="shared" si="24"/>
        <v>155</v>
      </c>
      <c r="D161">
        <v>622</v>
      </c>
      <c r="E161">
        <f t="shared" si="21"/>
        <v>1848</v>
      </c>
      <c r="Z161">
        <v>162</v>
      </c>
    </row>
    <row r="162" spans="1:26">
      <c r="A162">
        <f t="shared" si="22"/>
        <v>16</v>
      </c>
      <c r="B162">
        <f t="shared" si="23"/>
        <v>6</v>
      </c>
      <c r="C162">
        <f t="shared" si="24"/>
        <v>156</v>
      </c>
      <c r="D162">
        <v>159</v>
      </c>
      <c r="E162">
        <f t="shared" si="21"/>
        <v>1860</v>
      </c>
      <c r="Z162">
        <v>217</v>
      </c>
    </row>
    <row r="163" spans="1:26">
      <c r="A163">
        <f t="shared" si="22"/>
        <v>16</v>
      </c>
      <c r="B163">
        <f t="shared" si="23"/>
        <v>7</v>
      </c>
      <c r="C163">
        <f t="shared" si="24"/>
        <v>157</v>
      </c>
      <c r="D163">
        <v>218</v>
      </c>
      <c r="E163">
        <f t="shared" si="21"/>
        <v>1872</v>
      </c>
      <c r="Z163" t="s">
        <v>92</v>
      </c>
    </row>
    <row r="164" spans="1:26">
      <c r="A164">
        <f t="shared" si="22"/>
        <v>16</v>
      </c>
      <c r="B164">
        <f t="shared" si="23"/>
        <v>8</v>
      </c>
      <c r="C164">
        <f t="shared" si="24"/>
        <v>158</v>
      </c>
      <c r="D164" t="s">
        <v>92</v>
      </c>
      <c r="E164">
        <f t="shared" si="21"/>
        <v>1884</v>
      </c>
      <c r="Z164">
        <v>10</v>
      </c>
    </row>
    <row r="165" spans="1:26">
      <c r="A165">
        <f t="shared" si="22"/>
        <v>16</v>
      </c>
      <c r="B165">
        <f t="shared" si="23"/>
        <v>9</v>
      </c>
      <c r="C165">
        <f t="shared" si="24"/>
        <v>159</v>
      </c>
      <c r="D165">
        <v>10</v>
      </c>
      <c r="E165">
        <f t="shared" si="21"/>
        <v>1896</v>
      </c>
      <c r="Z165">
        <v>2.6</v>
      </c>
    </row>
    <row r="166" spans="1:26">
      <c r="A166">
        <f t="shared" si="22"/>
        <v>16</v>
      </c>
      <c r="B166">
        <f t="shared" si="23"/>
        <v>10</v>
      </c>
      <c r="C166">
        <f t="shared" si="24"/>
        <v>160</v>
      </c>
      <c r="D166">
        <v>2.9</v>
      </c>
      <c r="E166">
        <f t="shared" si="21"/>
        <v>1908</v>
      </c>
      <c r="Z166">
        <v>3714</v>
      </c>
    </row>
    <row r="167" spans="1:26">
      <c r="A167">
        <f t="shared" si="22"/>
        <v>17</v>
      </c>
      <c r="B167">
        <f t="shared" si="23"/>
        <v>1</v>
      </c>
      <c r="C167">
        <f t="shared" si="24"/>
        <v>161</v>
      </c>
      <c r="D167">
        <v>3601</v>
      </c>
      <c r="E167">
        <f t="shared" si="21"/>
        <v>1920</v>
      </c>
      <c r="Z167">
        <v>5835</v>
      </c>
    </row>
    <row r="168" spans="1:26">
      <c r="A168">
        <f t="shared" si="22"/>
        <v>17</v>
      </c>
      <c r="B168">
        <f t="shared" si="23"/>
        <v>2</v>
      </c>
      <c r="C168">
        <f t="shared" si="24"/>
        <v>162</v>
      </c>
      <c r="D168">
        <v>5333</v>
      </c>
      <c r="E168">
        <f t="shared" si="21"/>
        <v>1932</v>
      </c>
      <c r="Z168">
        <v>1.57</v>
      </c>
    </row>
    <row r="169" spans="1:26">
      <c r="A169">
        <f t="shared" si="22"/>
        <v>17</v>
      </c>
      <c r="B169">
        <f t="shared" si="23"/>
        <v>3</v>
      </c>
      <c r="C169">
        <f t="shared" si="24"/>
        <v>163</v>
      </c>
      <c r="D169">
        <v>1.48</v>
      </c>
      <c r="E169">
        <f t="shared" si="21"/>
        <v>1944</v>
      </c>
      <c r="Z169">
        <v>613</v>
      </c>
    </row>
    <row r="170" spans="1:26">
      <c r="A170">
        <f t="shared" si="22"/>
        <v>17</v>
      </c>
      <c r="B170">
        <f t="shared" si="23"/>
        <v>4</v>
      </c>
      <c r="C170">
        <f t="shared" si="24"/>
        <v>164</v>
      </c>
      <c r="D170">
        <v>508</v>
      </c>
      <c r="E170">
        <f t="shared" si="21"/>
        <v>1956</v>
      </c>
      <c r="Z170">
        <v>5916</v>
      </c>
    </row>
    <row r="171" spans="1:26">
      <c r="A171">
        <f t="shared" si="22"/>
        <v>17</v>
      </c>
      <c r="B171">
        <f t="shared" si="23"/>
        <v>5</v>
      </c>
      <c r="C171">
        <f t="shared" si="24"/>
        <v>165</v>
      </c>
      <c r="D171">
        <v>6826</v>
      </c>
      <c r="E171">
        <f t="shared" si="21"/>
        <v>1968</v>
      </c>
      <c r="Z171">
        <v>1.59</v>
      </c>
    </row>
    <row r="172" spans="1:26">
      <c r="A172">
        <f t="shared" si="22"/>
        <v>17</v>
      </c>
      <c r="B172">
        <f t="shared" si="23"/>
        <v>6</v>
      </c>
      <c r="C172">
        <f t="shared" si="24"/>
        <v>166</v>
      </c>
      <c r="D172">
        <v>1.9</v>
      </c>
      <c r="E172">
        <f t="shared" si="21"/>
        <v>1980</v>
      </c>
      <c r="Z172">
        <v>622</v>
      </c>
    </row>
    <row r="173" spans="1:26">
      <c r="A173">
        <f t="shared" si="22"/>
        <v>17</v>
      </c>
      <c r="B173">
        <f t="shared" si="23"/>
        <v>7</v>
      </c>
      <c r="C173">
        <f t="shared" si="24"/>
        <v>167</v>
      </c>
      <c r="D173">
        <v>650</v>
      </c>
      <c r="E173">
        <f t="shared" si="21"/>
        <v>1992</v>
      </c>
      <c r="Z173">
        <v>159</v>
      </c>
    </row>
    <row r="174" spans="1:26">
      <c r="A174">
        <f t="shared" si="22"/>
        <v>17</v>
      </c>
      <c r="B174">
        <f t="shared" si="23"/>
        <v>8</v>
      </c>
      <c r="C174">
        <f t="shared" si="24"/>
        <v>168</v>
      </c>
      <c r="D174">
        <v>190</v>
      </c>
      <c r="E174">
        <f t="shared" si="21"/>
        <v>2004</v>
      </c>
      <c r="Z174">
        <v>218</v>
      </c>
    </row>
    <row r="175" spans="1:26">
      <c r="A175">
        <f t="shared" si="22"/>
        <v>17</v>
      </c>
      <c r="B175">
        <f t="shared" si="23"/>
        <v>9</v>
      </c>
      <c r="C175">
        <f t="shared" si="24"/>
        <v>169</v>
      </c>
      <c r="D175">
        <v>219</v>
      </c>
      <c r="E175">
        <f t="shared" si="21"/>
        <v>2016</v>
      </c>
      <c r="Z175" t="s">
        <v>92</v>
      </c>
    </row>
    <row r="176" spans="1:26">
      <c r="A176">
        <f t="shared" si="22"/>
        <v>17</v>
      </c>
      <c r="B176">
        <f t="shared" si="23"/>
        <v>10</v>
      </c>
      <c r="C176">
        <f t="shared" si="24"/>
        <v>170</v>
      </c>
      <c r="D176" t="s">
        <v>92</v>
      </c>
      <c r="E176">
        <f t="shared" si="21"/>
        <v>2028</v>
      </c>
      <c r="Z176">
        <v>10</v>
      </c>
    </row>
    <row r="177" spans="1:26">
      <c r="A177">
        <f t="shared" si="22"/>
        <v>18</v>
      </c>
      <c r="B177">
        <f t="shared" si="23"/>
        <v>1</v>
      </c>
      <c r="C177">
        <f t="shared" si="24"/>
        <v>171</v>
      </c>
      <c r="D177">
        <v>15</v>
      </c>
      <c r="E177">
        <f t="shared" si="21"/>
        <v>2040</v>
      </c>
      <c r="Z177">
        <v>2.9</v>
      </c>
    </row>
    <row r="178" spans="1:26">
      <c r="A178">
        <f t="shared" si="22"/>
        <v>18</v>
      </c>
      <c r="B178">
        <f t="shared" si="23"/>
        <v>2</v>
      </c>
      <c r="C178">
        <f t="shared" si="24"/>
        <v>172</v>
      </c>
      <c r="D178">
        <v>1.7</v>
      </c>
      <c r="E178">
        <f t="shared" si="21"/>
        <v>2052</v>
      </c>
      <c r="Z178">
        <v>3601</v>
      </c>
    </row>
    <row r="179" spans="1:26">
      <c r="A179">
        <f t="shared" si="22"/>
        <v>18</v>
      </c>
      <c r="B179">
        <f t="shared" si="23"/>
        <v>3</v>
      </c>
      <c r="C179">
        <f t="shared" si="24"/>
        <v>173</v>
      </c>
      <c r="D179" s="1">
        <v>871</v>
      </c>
      <c r="E179">
        <f t="shared" si="21"/>
        <v>2064</v>
      </c>
      <c r="Z179">
        <v>5333</v>
      </c>
    </row>
    <row r="180" spans="1:26">
      <c r="A180">
        <f t="shared" si="22"/>
        <v>18</v>
      </c>
      <c r="B180">
        <f t="shared" si="23"/>
        <v>4</v>
      </c>
      <c r="C180">
        <f t="shared" si="24"/>
        <v>174</v>
      </c>
      <c r="D180" s="1">
        <v>686</v>
      </c>
      <c r="E180">
        <f t="shared" si="21"/>
        <v>2076</v>
      </c>
      <c r="Z180">
        <v>1.48</v>
      </c>
    </row>
    <row r="181" spans="1:26">
      <c r="A181">
        <f t="shared" si="22"/>
        <v>18</v>
      </c>
      <c r="B181">
        <f t="shared" si="23"/>
        <v>5</v>
      </c>
      <c r="C181">
        <f t="shared" si="24"/>
        <v>175</v>
      </c>
      <c r="D181">
        <v>0.79</v>
      </c>
      <c r="E181">
        <f t="shared" si="21"/>
        <v>2088</v>
      </c>
      <c r="Z181">
        <v>508</v>
      </c>
    </row>
    <row r="182" spans="1:26">
      <c r="A182">
        <f t="shared" si="22"/>
        <v>18</v>
      </c>
      <c r="B182">
        <f t="shared" si="23"/>
        <v>6</v>
      </c>
      <c r="C182">
        <f t="shared" si="24"/>
        <v>176</v>
      </c>
      <c r="D182">
        <v>458</v>
      </c>
      <c r="E182">
        <f t="shared" si="21"/>
        <v>2100</v>
      </c>
      <c r="Z182">
        <v>6826</v>
      </c>
    </row>
    <row r="183" spans="1:26">
      <c r="A183">
        <f t="shared" si="22"/>
        <v>18</v>
      </c>
      <c r="B183">
        <f t="shared" si="23"/>
        <v>7</v>
      </c>
      <c r="C183">
        <f t="shared" si="24"/>
        <v>177</v>
      </c>
      <c r="D183">
        <v>306</v>
      </c>
      <c r="E183">
        <f t="shared" si="21"/>
        <v>2112</v>
      </c>
      <c r="Z183">
        <v>1.9</v>
      </c>
    </row>
    <row r="184" spans="1:26">
      <c r="A184">
        <f t="shared" si="22"/>
        <v>18</v>
      </c>
      <c r="B184">
        <f t="shared" si="23"/>
        <v>8</v>
      </c>
      <c r="C184">
        <f t="shared" si="24"/>
        <v>178</v>
      </c>
      <c r="D184">
        <v>0.35</v>
      </c>
      <c r="E184">
        <f t="shared" si="21"/>
        <v>2124</v>
      </c>
      <c r="Z184">
        <v>650</v>
      </c>
    </row>
    <row r="185" spans="1:26">
      <c r="A185">
        <f t="shared" si="22"/>
        <v>18</v>
      </c>
      <c r="B185">
        <f t="shared" si="23"/>
        <v>9</v>
      </c>
      <c r="C185">
        <f t="shared" si="24"/>
        <v>179</v>
      </c>
      <c r="D185" s="1">
        <v>205</v>
      </c>
      <c r="E185">
        <f t="shared" si="21"/>
        <v>2136</v>
      </c>
      <c r="Z185">
        <v>190</v>
      </c>
    </row>
    <row r="186" spans="1:26">
      <c r="A186">
        <f t="shared" si="22"/>
        <v>18</v>
      </c>
      <c r="B186">
        <f t="shared" si="23"/>
        <v>10</v>
      </c>
      <c r="C186">
        <f t="shared" si="24"/>
        <v>180</v>
      </c>
      <c r="D186">
        <v>23</v>
      </c>
      <c r="E186">
        <f t="shared" si="21"/>
        <v>2148</v>
      </c>
    </row>
    <row r="187" spans="1:26">
      <c r="A187">
        <f t="shared" si="22"/>
        <v>19</v>
      </c>
      <c r="B187">
        <f t="shared" si="23"/>
        <v>1</v>
      </c>
      <c r="C187">
        <f t="shared" si="24"/>
        <v>181</v>
      </c>
      <c r="D187">
        <v>220</v>
      </c>
      <c r="E187">
        <f t="shared" si="21"/>
        <v>2160</v>
      </c>
    </row>
    <row r="188" spans="1:26">
      <c r="A188">
        <f t="shared" si="22"/>
        <v>19</v>
      </c>
      <c r="B188">
        <f t="shared" si="23"/>
        <v>2</v>
      </c>
      <c r="C188">
        <f t="shared" si="24"/>
        <v>182</v>
      </c>
      <c r="D188" t="s">
        <v>92</v>
      </c>
      <c r="E188">
        <f t="shared" si="21"/>
        <v>2172</v>
      </c>
    </row>
    <row r="189" spans="1:26">
      <c r="A189">
        <f t="shared" si="22"/>
        <v>19</v>
      </c>
      <c r="B189">
        <f t="shared" si="23"/>
        <v>3</v>
      </c>
      <c r="C189">
        <f t="shared" si="24"/>
        <v>183</v>
      </c>
      <c r="D189" s="1">
        <v>15</v>
      </c>
      <c r="E189">
        <f t="shared" si="21"/>
        <v>2184</v>
      </c>
    </row>
    <row r="190" spans="1:26">
      <c r="A190">
        <f t="shared" si="22"/>
        <v>19</v>
      </c>
      <c r="B190">
        <f t="shared" si="23"/>
        <v>4</v>
      </c>
      <c r="C190">
        <f t="shared" si="24"/>
        <v>184</v>
      </c>
      <c r="D190" s="1">
        <v>1.4</v>
      </c>
      <c r="E190">
        <f t="shared" si="21"/>
        <v>2196</v>
      </c>
    </row>
    <row r="191" spans="1:26">
      <c r="A191">
        <f t="shared" si="22"/>
        <v>19</v>
      </c>
      <c r="B191">
        <f t="shared" si="23"/>
        <v>5</v>
      </c>
      <c r="C191">
        <f t="shared" si="24"/>
        <v>185</v>
      </c>
      <c r="D191">
        <v>3474</v>
      </c>
      <c r="E191">
        <f t="shared" si="21"/>
        <v>2208</v>
      </c>
    </row>
    <row r="192" spans="1:26">
      <c r="A192">
        <f t="shared" si="22"/>
        <v>19</v>
      </c>
      <c r="B192">
        <f t="shared" si="23"/>
        <v>6</v>
      </c>
      <c r="C192">
        <f t="shared" si="24"/>
        <v>186</v>
      </c>
      <c r="D192">
        <v>2597</v>
      </c>
      <c r="E192">
        <f t="shared" si="21"/>
        <v>2220</v>
      </c>
    </row>
    <row r="193" spans="1:5">
      <c r="A193">
        <f t="shared" si="22"/>
        <v>19</v>
      </c>
      <c r="B193">
        <f t="shared" si="23"/>
        <v>7</v>
      </c>
      <c r="C193">
        <f t="shared" si="24"/>
        <v>187</v>
      </c>
      <c r="D193" s="1">
        <v>0.75</v>
      </c>
      <c r="E193">
        <f t="shared" si="21"/>
        <v>2232</v>
      </c>
    </row>
    <row r="194" spans="1:5">
      <c r="A194">
        <f t="shared" si="22"/>
        <v>19</v>
      </c>
      <c r="B194">
        <f t="shared" si="23"/>
        <v>8</v>
      </c>
      <c r="C194">
        <f t="shared" si="24"/>
        <v>188</v>
      </c>
      <c r="D194">
        <v>545</v>
      </c>
      <c r="E194">
        <f t="shared" si="21"/>
        <v>2244</v>
      </c>
    </row>
    <row r="195" spans="1:5">
      <c r="A195">
        <f t="shared" si="22"/>
        <v>19</v>
      </c>
      <c r="B195">
        <f t="shared" si="23"/>
        <v>9</v>
      </c>
      <c r="C195">
        <f t="shared" si="24"/>
        <v>189</v>
      </c>
      <c r="D195" s="1">
        <v>5150</v>
      </c>
      <c r="E195">
        <f t="shared" si="21"/>
        <v>2256</v>
      </c>
    </row>
    <row r="196" spans="1:5">
      <c r="A196">
        <f t="shared" si="22"/>
        <v>19</v>
      </c>
      <c r="B196">
        <f t="shared" si="23"/>
        <v>10</v>
      </c>
      <c r="C196">
        <f t="shared" si="24"/>
        <v>190</v>
      </c>
      <c r="D196">
        <v>1.48</v>
      </c>
      <c r="E196">
        <f t="shared" si="21"/>
        <v>2268</v>
      </c>
    </row>
    <row r="197" spans="1:5">
      <c r="A197">
        <f t="shared" si="22"/>
        <v>20</v>
      </c>
      <c r="B197">
        <f t="shared" si="23"/>
        <v>1</v>
      </c>
      <c r="C197">
        <f t="shared" si="24"/>
        <v>191</v>
      </c>
      <c r="D197">
        <v>1081</v>
      </c>
      <c r="E197">
        <f t="shared" si="21"/>
        <v>2280</v>
      </c>
    </row>
    <row r="198" spans="1:5">
      <c r="A198">
        <f t="shared" si="22"/>
        <v>20</v>
      </c>
      <c r="B198">
        <f t="shared" si="23"/>
        <v>2</v>
      </c>
      <c r="C198">
        <f t="shared" si="24"/>
        <v>192</v>
      </c>
      <c r="D198">
        <v>99</v>
      </c>
      <c r="E198">
        <f t="shared" si="21"/>
        <v>2292</v>
      </c>
    </row>
    <row r="199" spans="1:5">
      <c r="A199">
        <f t="shared" si="22"/>
        <v>20</v>
      </c>
      <c r="B199">
        <f t="shared" si="23"/>
        <v>3</v>
      </c>
      <c r="C199">
        <f t="shared" si="24"/>
        <v>193</v>
      </c>
      <c r="D199" s="1">
        <v>221</v>
      </c>
      <c r="E199">
        <f t="shared" si="21"/>
        <v>2304</v>
      </c>
    </row>
    <row r="200" spans="1:5">
      <c r="A200">
        <f t="shared" si="22"/>
        <v>20</v>
      </c>
      <c r="B200">
        <f t="shared" si="23"/>
        <v>4</v>
      </c>
      <c r="C200">
        <f t="shared" si="24"/>
        <v>194</v>
      </c>
      <c r="D200" s="1" t="s">
        <v>92</v>
      </c>
      <c r="E200">
        <f t="shared" si="21"/>
        <v>2316</v>
      </c>
    </row>
    <row r="201" spans="1:5">
      <c r="A201">
        <f t="shared" si="22"/>
        <v>20</v>
      </c>
      <c r="B201">
        <f t="shared" si="23"/>
        <v>5</v>
      </c>
      <c r="C201">
        <f t="shared" si="24"/>
        <v>195</v>
      </c>
      <c r="D201">
        <v>10</v>
      </c>
      <c r="E201">
        <f t="shared" ref="E201:E264" si="25">E200+12</f>
        <v>2328</v>
      </c>
    </row>
    <row r="202" spans="1:5">
      <c r="A202">
        <f t="shared" si="22"/>
        <v>20</v>
      </c>
      <c r="B202">
        <f t="shared" si="23"/>
        <v>6</v>
      </c>
      <c r="C202">
        <f t="shared" si="24"/>
        <v>196</v>
      </c>
      <c r="D202">
        <v>2</v>
      </c>
      <c r="E202">
        <f t="shared" si="25"/>
        <v>2340</v>
      </c>
    </row>
    <row r="203" spans="1:5">
      <c r="A203">
        <f t="shared" si="22"/>
        <v>20</v>
      </c>
      <c r="B203">
        <f t="shared" si="23"/>
        <v>7</v>
      </c>
      <c r="C203">
        <f t="shared" si="24"/>
        <v>197</v>
      </c>
      <c r="D203">
        <v>3195</v>
      </c>
      <c r="E203">
        <f t="shared" si="25"/>
        <v>2352</v>
      </c>
    </row>
    <row r="204" spans="1:5">
      <c r="A204">
        <f t="shared" si="22"/>
        <v>20</v>
      </c>
      <c r="B204">
        <f t="shared" si="23"/>
        <v>8</v>
      </c>
      <c r="C204">
        <f t="shared" si="24"/>
        <v>198</v>
      </c>
      <c r="D204">
        <v>4280</v>
      </c>
      <c r="E204">
        <f t="shared" si="25"/>
        <v>2364</v>
      </c>
    </row>
    <row r="205" spans="1:5">
      <c r="A205">
        <f t="shared" si="22"/>
        <v>20</v>
      </c>
      <c r="B205">
        <f t="shared" si="23"/>
        <v>9</v>
      </c>
      <c r="C205">
        <f t="shared" si="24"/>
        <v>199</v>
      </c>
      <c r="D205" s="1">
        <v>1.34</v>
      </c>
      <c r="E205">
        <f t="shared" si="25"/>
        <v>2376</v>
      </c>
    </row>
    <row r="206" spans="1:5">
      <c r="A206">
        <f t="shared" si="22"/>
        <v>20</v>
      </c>
      <c r="B206">
        <f t="shared" si="23"/>
        <v>10</v>
      </c>
      <c r="C206">
        <f t="shared" si="24"/>
        <v>200</v>
      </c>
      <c r="D206">
        <v>677</v>
      </c>
      <c r="E206">
        <f t="shared" si="25"/>
        <v>2388</v>
      </c>
    </row>
    <row r="207" spans="1:5">
      <c r="A207">
        <f t="shared" si="22"/>
        <v>21</v>
      </c>
      <c r="B207">
        <f t="shared" si="23"/>
        <v>1</v>
      </c>
      <c r="C207">
        <f t="shared" si="24"/>
        <v>201</v>
      </c>
      <c r="D207">
        <v>4151</v>
      </c>
      <c r="E207">
        <f t="shared" si="25"/>
        <v>2400</v>
      </c>
    </row>
    <row r="208" spans="1:5">
      <c r="A208">
        <f t="shared" si="22"/>
        <v>21</v>
      </c>
      <c r="B208">
        <f t="shared" si="23"/>
        <v>2</v>
      </c>
      <c r="C208">
        <f t="shared" si="24"/>
        <v>202</v>
      </c>
      <c r="D208">
        <v>1.3</v>
      </c>
      <c r="E208">
        <f t="shared" si="25"/>
        <v>2412</v>
      </c>
    </row>
    <row r="209" spans="1:5">
      <c r="A209">
        <f t="shared" si="22"/>
        <v>21</v>
      </c>
      <c r="B209">
        <f t="shared" si="23"/>
        <v>3</v>
      </c>
      <c r="C209">
        <f t="shared" si="24"/>
        <v>203</v>
      </c>
      <c r="D209" s="1">
        <v>656</v>
      </c>
      <c r="E209">
        <f t="shared" si="25"/>
        <v>2424</v>
      </c>
    </row>
    <row r="210" spans="1:5">
      <c r="A210">
        <f t="shared" ref="A210:A273" si="26">A200+1</f>
        <v>21</v>
      </c>
      <c r="B210">
        <f t="shared" ref="B210:B273" si="27">B200</f>
        <v>4</v>
      </c>
      <c r="C210">
        <f t="shared" si="24"/>
        <v>204</v>
      </c>
      <c r="D210" s="1">
        <v>130</v>
      </c>
      <c r="E210">
        <f t="shared" si="25"/>
        <v>2436</v>
      </c>
    </row>
    <row r="211" spans="1:5">
      <c r="A211">
        <f t="shared" si="26"/>
        <v>21</v>
      </c>
      <c r="B211">
        <f t="shared" si="27"/>
        <v>5</v>
      </c>
      <c r="C211">
        <f t="shared" si="24"/>
        <v>205</v>
      </c>
      <c r="D211">
        <v>222</v>
      </c>
      <c r="E211">
        <f t="shared" si="25"/>
        <v>2448</v>
      </c>
    </row>
    <row r="212" spans="1:5">
      <c r="A212">
        <f t="shared" si="26"/>
        <v>21</v>
      </c>
      <c r="B212">
        <f t="shared" si="27"/>
        <v>6</v>
      </c>
      <c r="C212">
        <f t="shared" si="24"/>
        <v>206</v>
      </c>
      <c r="D212" t="s">
        <v>92</v>
      </c>
      <c r="E212">
        <f t="shared" si="25"/>
        <v>2460</v>
      </c>
    </row>
    <row r="213" spans="1:5">
      <c r="A213">
        <f t="shared" si="26"/>
        <v>21</v>
      </c>
      <c r="B213">
        <f t="shared" si="27"/>
        <v>7</v>
      </c>
      <c r="C213">
        <f t="shared" si="24"/>
        <v>207</v>
      </c>
      <c r="D213">
        <v>15</v>
      </c>
      <c r="E213">
        <f t="shared" si="25"/>
        <v>2472</v>
      </c>
    </row>
    <row r="214" spans="1:5">
      <c r="A214">
        <f t="shared" si="26"/>
        <v>21</v>
      </c>
      <c r="B214">
        <f t="shared" si="27"/>
        <v>8</v>
      </c>
      <c r="C214">
        <f t="shared" si="24"/>
        <v>208</v>
      </c>
      <c r="D214">
        <v>1.9</v>
      </c>
      <c r="E214">
        <f t="shared" si="25"/>
        <v>2484</v>
      </c>
    </row>
    <row r="215" spans="1:5">
      <c r="A215">
        <f t="shared" si="26"/>
        <v>21</v>
      </c>
      <c r="B215">
        <f t="shared" si="27"/>
        <v>9</v>
      </c>
      <c r="C215">
        <f t="shared" si="24"/>
        <v>209</v>
      </c>
      <c r="D215" s="1">
        <v>3760</v>
      </c>
      <c r="E215">
        <f t="shared" si="25"/>
        <v>2496</v>
      </c>
    </row>
    <row r="216" spans="1:5">
      <c r="A216">
        <f t="shared" si="26"/>
        <v>21</v>
      </c>
      <c r="B216">
        <f t="shared" si="27"/>
        <v>10</v>
      </c>
      <c r="C216">
        <f t="shared" si="24"/>
        <v>210</v>
      </c>
      <c r="D216">
        <v>4730</v>
      </c>
      <c r="E216">
        <f t="shared" si="25"/>
        <v>2508</v>
      </c>
    </row>
    <row r="217" spans="1:5">
      <c r="A217">
        <f t="shared" si="26"/>
        <v>22</v>
      </c>
      <c r="B217">
        <f t="shared" si="27"/>
        <v>1</v>
      </c>
      <c r="C217">
        <f t="shared" ref="C217:C280" si="28">C216+1</f>
        <v>211</v>
      </c>
      <c r="D217">
        <v>1.26</v>
      </c>
      <c r="E217">
        <f t="shared" si="25"/>
        <v>2520</v>
      </c>
    </row>
    <row r="218" spans="1:5">
      <c r="A218">
        <f t="shared" si="26"/>
        <v>22</v>
      </c>
      <c r="B218">
        <f t="shared" si="27"/>
        <v>2</v>
      </c>
      <c r="C218">
        <f t="shared" si="28"/>
        <v>212</v>
      </c>
      <c r="D218">
        <v>680</v>
      </c>
      <c r="E218">
        <f t="shared" si="25"/>
        <v>2532</v>
      </c>
    </row>
    <row r="219" spans="1:5">
      <c r="A219">
        <f t="shared" si="26"/>
        <v>22</v>
      </c>
      <c r="B219">
        <f t="shared" si="27"/>
        <v>3</v>
      </c>
      <c r="C219">
        <f t="shared" si="28"/>
        <v>213</v>
      </c>
      <c r="D219" s="1">
        <v>5775</v>
      </c>
      <c r="E219">
        <f t="shared" si="25"/>
        <v>2544</v>
      </c>
    </row>
    <row r="220" spans="1:5">
      <c r="A220">
        <f t="shared" si="26"/>
        <v>22</v>
      </c>
      <c r="B220">
        <f t="shared" si="27"/>
        <v>4</v>
      </c>
      <c r="C220">
        <f t="shared" si="28"/>
        <v>214</v>
      </c>
      <c r="D220" s="1">
        <v>1.54</v>
      </c>
      <c r="E220">
        <f t="shared" si="25"/>
        <v>2556</v>
      </c>
    </row>
    <row r="221" spans="1:5">
      <c r="A221">
        <f t="shared" si="26"/>
        <v>22</v>
      </c>
      <c r="B221">
        <f t="shared" si="27"/>
        <v>5</v>
      </c>
      <c r="C221">
        <f t="shared" si="28"/>
        <v>215</v>
      </c>
      <c r="D221">
        <v>830</v>
      </c>
      <c r="E221">
        <f t="shared" si="25"/>
        <v>2568</v>
      </c>
    </row>
    <row r="222" spans="1:5">
      <c r="A222">
        <f t="shared" si="26"/>
        <v>22</v>
      </c>
      <c r="B222">
        <f t="shared" si="27"/>
        <v>6</v>
      </c>
      <c r="C222">
        <f t="shared" si="28"/>
        <v>216</v>
      </c>
      <c r="D222">
        <v>102</v>
      </c>
      <c r="E222">
        <f t="shared" si="25"/>
        <v>2580</v>
      </c>
    </row>
    <row r="223" spans="1:5">
      <c r="A223">
        <f t="shared" si="26"/>
        <v>22</v>
      </c>
      <c r="B223">
        <f t="shared" si="27"/>
        <v>7</v>
      </c>
      <c r="C223">
        <f t="shared" si="28"/>
        <v>217</v>
      </c>
      <c r="D223" s="1">
        <v>223</v>
      </c>
      <c r="E223">
        <f t="shared" si="25"/>
        <v>2592</v>
      </c>
    </row>
    <row r="224" spans="1:5">
      <c r="A224">
        <f t="shared" si="26"/>
        <v>22</v>
      </c>
      <c r="B224">
        <f t="shared" si="27"/>
        <v>8</v>
      </c>
      <c r="C224">
        <f t="shared" si="28"/>
        <v>218</v>
      </c>
      <c r="D224" t="s">
        <v>92</v>
      </c>
      <c r="E224">
        <f t="shared" si="25"/>
        <v>2604</v>
      </c>
    </row>
    <row r="225" spans="1:5">
      <c r="A225">
        <f t="shared" si="26"/>
        <v>22</v>
      </c>
      <c r="B225">
        <f t="shared" si="27"/>
        <v>9</v>
      </c>
      <c r="C225">
        <f t="shared" si="28"/>
        <v>219</v>
      </c>
      <c r="D225" s="1">
        <v>15</v>
      </c>
      <c r="E225">
        <f t="shared" si="25"/>
        <v>2616</v>
      </c>
    </row>
    <row r="226" spans="1:5">
      <c r="A226">
        <f t="shared" si="26"/>
        <v>22</v>
      </c>
      <c r="B226">
        <f t="shared" si="27"/>
        <v>10</v>
      </c>
      <c r="C226">
        <f t="shared" si="28"/>
        <v>220</v>
      </c>
      <c r="D226">
        <v>2.4</v>
      </c>
      <c r="E226">
        <f t="shared" si="25"/>
        <v>2628</v>
      </c>
    </row>
    <row r="227" spans="1:5">
      <c r="A227">
        <f t="shared" si="26"/>
        <v>23</v>
      </c>
      <c r="B227">
        <f t="shared" si="27"/>
        <v>1</v>
      </c>
      <c r="C227">
        <f t="shared" si="28"/>
        <v>221</v>
      </c>
      <c r="D227">
        <v>3019</v>
      </c>
      <c r="E227">
        <f t="shared" si="25"/>
        <v>2640</v>
      </c>
    </row>
    <row r="228" spans="1:5">
      <c r="A228">
        <f t="shared" si="26"/>
        <v>23</v>
      </c>
      <c r="B228">
        <f t="shared" si="27"/>
        <v>2</v>
      </c>
      <c r="C228">
        <f t="shared" si="28"/>
        <v>222</v>
      </c>
      <c r="D228">
        <v>4393</v>
      </c>
      <c r="E228">
        <f t="shared" si="25"/>
        <v>2652</v>
      </c>
    </row>
    <row r="229" spans="1:5">
      <c r="A229">
        <f t="shared" si="26"/>
        <v>23</v>
      </c>
      <c r="B229">
        <f t="shared" si="27"/>
        <v>3</v>
      </c>
      <c r="C229">
        <f t="shared" si="28"/>
        <v>223</v>
      </c>
      <c r="D229" s="1">
        <v>1.46</v>
      </c>
      <c r="E229">
        <f t="shared" si="25"/>
        <v>2664</v>
      </c>
    </row>
    <row r="230" spans="1:5">
      <c r="A230">
        <f t="shared" si="26"/>
        <v>23</v>
      </c>
      <c r="B230">
        <f t="shared" si="27"/>
        <v>4</v>
      </c>
      <c r="C230">
        <f t="shared" si="28"/>
        <v>224</v>
      </c>
      <c r="D230" s="1">
        <v>597</v>
      </c>
      <c r="E230">
        <f t="shared" si="25"/>
        <v>2676</v>
      </c>
    </row>
    <row r="231" spans="1:5">
      <c r="A231">
        <f t="shared" si="26"/>
        <v>23</v>
      </c>
      <c r="B231">
        <f t="shared" si="27"/>
        <v>5</v>
      </c>
      <c r="C231">
        <f t="shared" si="28"/>
        <v>225</v>
      </c>
      <c r="D231">
        <v>6620</v>
      </c>
      <c r="E231">
        <f t="shared" si="25"/>
        <v>2688</v>
      </c>
    </row>
    <row r="232" spans="1:5">
      <c r="A232">
        <f t="shared" si="26"/>
        <v>23</v>
      </c>
      <c r="B232">
        <f t="shared" si="27"/>
        <v>6</v>
      </c>
      <c r="C232">
        <f t="shared" si="28"/>
        <v>226</v>
      </c>
      <c r="D232">
        <v>2.19</v>
      </c>
      <c r="E232">
        <f t="shared" si="25"/>
        <v>2700</v>
      </c>
    </row>
    <row r="233" spans="1:5">
      <c r="A233">
        <f t="shared" si="26"/>
        <v>23</v>
      </c>
      <c r="B233">
        <f t="shared" si="27"/>
        <v>7</v>
      </c>
      <c r="C233">
        <f t="shared" si="28"/>
        <v>227</v>
      </c>
      <c r="D233" s="1">
        <v>899</v>
      </c>
      <c r="E233">
        <f t="shared" si="25"/>
        <v>2712</v>
      </c>
    </row>
    <row r="234" spans="1:5">
      <c r="A234">
        <f t="shared" si="26"/>
        <v>23</v>
      </c>
      <c r="B234">
        <f t="shared" si="27"/>
        <v>8</v>
      </c>
      <c r="C234">
        <f t="shared" si="28"/>
        <v>228</v>
      </c>
      <c r="D234">
        <v>146</v>
      </c>
      <c r="E234">
        <f t="shared" si="25"/>
        <v>2724</v>
      </c>
    </row>
    <row r="235" spans="1:5">
      <c r="A235">
        <f t="shared" si="26"/>
        <v>23</v>
      </c>
      <c r="B235">
        <f t="shared" si="27"/>
        <v>9</v>
      </c>
      <c r="C235">
        <f t="shared" si="28"/>
        <v>229</v>
      </c>
      <c r="D235" s="1">
        <v>224</v>
      </c>
      <c r="E235">
        <f t="shared" si="25"/>
        <v>2736</v>
      </c>
    </row>
    <row r="236" spans="1:5">
      <c r="A236">
        <f t="shared" si="26"/>
        <v>23</v>
      </c>
      <c r="B236">
        <f t="shared" si="27"/>
        <v>10</v>
      </c>
      <c r="C236">
        <f t="shared" si="28"/>
        <v>230</v>
      </c>
      <c r="D236" t="s">
        <v>92</v>
      </c>
      <c r="E236">
        <f t="shared" si="25"/>
        <v>2748</v>
      </c>
    </row>
    <row r="237" spans="1:5">
      <c r="A237">
        <f t="shared" si="26"/>
        <v>24</v>
      </c>
      <c r="B237">
        <f t="shared" si="27"/>
        <v>1</v>
      </c>
      <c r="C237">
        <f t="shared" si="28"/>
        <v>231</v>
      </c>
      <c r="D237">
        <v>10</v>
      </c>
      <c r="E237">
        <f t="shared" si="25"/>
        <v>2760</v>
      </c>
    </row>
    <row r="238" spans="1:5">
      <c r="A238">
        <f t="shared" si="26"/>
        <v>24</v>
      </c>
      <c r="B238">
        <f t="shared" si="27"/>
        <v>2</v>
      </c>
      <c r="C238">
        <f t="shared" si="28"/>
        <v>232</v>
      </c>
      <c r="D238">
        <v>1.7</v>
      </c>
      <c r="E238">
        <f t="shared" si="25"/>
        <v>2772</v>
      </c>
    </row>
    <row r="239" spans="1:5">
      <c r="A239">
        <f t="shared" si="26"/>
        <v>24</v>
      </c>
      <c r="B239">
        <f t="shared" si="27"/>
        <v>3</v>
      </c>
      <c r="C239">
        <f t="shared" si="28"/>
        <v>233</v>
      </c>
      <c r="D239" s="1">
        <v>3276</v>
      </c>
      <c r="E239">
        <f t="shared" si="25"/>
        <v>2784</v>
      </c>
    </row>
    <row r="240" spans="1:5">
      <c r="A240">
        <f t="shared" si="26"/>
        <v>24</v>
      </c>
      <c r="B240">
        <f t="shared" si="27"/>
        <v>4</v>
      </c>
      <c r="C240">
        <f t="shared" si="28"/>
        <v>234</v>
      </c>
      <c r="D240" s="1">
        <v>3345</v>
      </c>
      <c r="E240">
        <f t="shared" si="25"/>
        <v>2796</v>
      </c>
    </row>
    <row r="241" spans="1:5">
      <c r="A241">
        <f t="shared" si="26"/>
        <v>24</v>
      </c>
      <c r="B241">
        <f t="shared" si="27"/>
        <v>5</v>
      </c>
      <c r="C241">
        <f t="shared" si="28"/>
        <v>235</v>
      </c>
      <c r="D241">
        <v>1.02</v>
      </c>
      <c r="E241">
        <f t="shared" si="25"/>
        <v>2808</v>
      </c>
    </row>
    <row r="242" spans="1:5">
      <c r="A242">
        <f t="shared" si="26"/>
        <v>24</v>
      </c>
      <c r="B242">
        <f t="shared" si="27"/>
        <v>6</v>
      </c>
      <c r="C242">
        <f t="shared" si="28"/>
        <v>236</v>
      </c>
      <c r="D242">
        <v>601</v>
      </c>
      <c r="E242">
        <f t="shared" si="25"/>
        <v>2820</v>
      </c>
    </row>
    <row r="243" spans="1:5">
      <c r="A243">
        <f t="shared" si="26"/>
        <v>24</v>
      </c>
      <c r="B243">
        <f t="shared" si="27"/>
        <v>7</v>
      </c>
      <c r="C243">
        <f t="shared" si="28"/>
        <v>237</v>
      </c>
      <c r="D243" s="1">
        <v>7241</v>
      </c>
      <c r="E243">
        <f t="shared" si="25"/>
        <v>2832</v>
      </c>
    </row>
    <row r="244" spans="1:5">
      <c r="A244">
        <f t="shared" si="26"/>
        <v>24</v>
      </c>
      <c r="B244">
        <f t="shared" si="27"/>
        <v>8</v>
      </c>
      <c r="C244">
        <f t="shared" si="28"/>
        <v>238</v>
      </c>
      <c r="D244">
        <v>2.21</v>
      </c>
      <c r="E244">
        <f t="shared" si="25"/>
        <v>2844</v>
      </c>
    </row>
    <row r="245" spans="1:5">
      <c r="A245">
        <f t="shared" si="26"/>
        <v>24</v>
      </c>
      <c r="B245">
        <f t="shared" si="27"/>
        <v>9</v>
      </c>
      <c r="C245">
        <f t="shared" si="28"/>
        <v>239</v>
      </c>
      <c r="D245" s="1">
        <v>1300</v>
      </c>
      <c r="E245">
        <f t="shared" si="25"/>
        <v>2856</v>
      </c>
    </row>
    <row r="246" spans="1:5">
      <c r="A246">
        <f t="shared" si="26"/>
        <v>24</v>
      </c>
      <c r="B246">
        <f t="shared" si="27"/>
        <v>10</v>
      </c>
      <c r="C246">
        <f t="shared" si="28"/>
        <v>240</v>
      </c>
      <c r="D246">
        <v>221</v>
      </c>
      <c r="E246">
        <f t="shared" si="25"/>
        <v>2868</v>
      </c>
    </row>
    <row r="247" spans="1:5">
      <c r="A247">
        <f t="shared" si="26"/>
        <v>25</v>
      </c>
      <c r="B247">
        <f t="shared" si="27"/>
        <v>1</v>
      </c>
      <c r="C247">
        <f t="shared" si="28"/>
        <v>241</v>
      </c>
      <c r="D247">
        <v>225</v>
      </c>
      <c r="E247">
        <f t="shared" si="25"/>
        <v>2880</v>
      </c>
    </row>
    <row r="248" spans="1:5">
      <c r="A248">
        <f t="shared" si="26"/>
        <v>25</v>
      </c>
      <c r="B248">
        <f t="shared" si="27"/>
        <v>2</v>
      </c>
      <c r="C248">
        <f t="shared" si="28"/>
        <v>242</v>
      </c>
      <c r="D248" t="s">
        <v>92</v>
      </c>
      <c r="E248">
        <f t="shared" si="25"/>
        <v>2892</v>
      </c>
    </row>
    <row r="249" spans="1:5">
      <c r="A249">
        <f t="shared" si="26"/>
        <v>25</v>
      </c>
      <c r="B249">
        <f t="shared" si="27"/>
        <v>3</v>
      </c>
      <c r="C249">
        <f t="shared" si="28"/>
        <v>243</v>
      </c>
      <c r="D249" s="1">
        <v>10</v>
      </c>
      <c r="E249">
        <f t="shared" si="25"/>
        <v>2904</v>
      </c>
    </row>
    <row r="250" spans="1:5">
      <c r="A250">
        <f t="shared" si="26"/>
        <v>25</v>
      </c>
      <c r="B250">
        <f t="shared" si="27"/>
        <v>4</v>
      </c>
      <c r="C250">
        <f t="shared" si="28"/>
        <v>244</v>
      </c>
      <c r="D250" s="1">
        <v>2</v>
      </c>
      <c r="E250">
        <f t="shared" si="25"/>
        <v>2916</v>
      </c>
    </row>
    <row r="251" spans="1:5">
      <c r="A251">
        <f t="shared" si="26"/>
        <v>25</v>
      </c>
      <c r="B251">
        <f t="shared" si="27"/>
        <v>5</v>
      </c>
      <c r="C251">
        <f t="shared" si="28"/>
        <v>245</v>
      </c>
      <c r="D251">
        <v>2429</v>
      </c>
      <c r="E251">
        <f t="shared" si="25"/>
        <v>2928</v>
      </c>
    </row>
    <row r="252" spans="1:5">
      <c r="A252">
        <f t="shared" si="26"/>
        <v>25</v>
      </c>
      <c r="B252">
        <f t="shared" si="27"/>
        <v>6</v>
      </c>
      <c r="C252">
        <f t="shared" si="28"/>
        <v>246</v>
      </c>
      <c r="D252">
        <v>3195</v>
      </c>
      <c r="E252">
        <f t="shared" si="25"/>
        <v>2940</v>
      </c>
    </row>
    <row r="253" spans="1:5">
      <c r="A253">
        <f t="shared" si="26"/>
        <v>25</v>
      </c>
      <c r="B253">
        <f t="shared" si="27"/>
        <v>7</v>
      </c>
      <c r="C253">
        <f t="shared" si="28"/>
        <v>247</v>
      </c>
      <c r="D253">
        <v>1.32</v>
      </c>
      <c r="E253">
        <f t="shared" si="25"/>
        <v>2952</v>
      </c>
    </row>
    <row r="254" spans="1:5">
      <c r="A254">
        <f t="shared" si="26"/>
        <v>25</v>
      </c>
      <c r="B254">
        <f t="shared" si="27"/>
        <v>8</v>
      </c>
      <c r="C254">
        <f t="shared" si="28"/>
        <v>248</v>
      </c>
      <c r="D254">
        <v>673</v>
      </c>
      <c r="E254">
        <f t="shared" si="25"/>
        <v>2964</v>
      </c>
    </row>
    <row r="255" spans="1:5">
      <c r="A255">
        <f t="shared" si="26"/>
        <v>25</v>
      </c>
      <c r="B255">
        <f t="shared" si="27"/>
        <v>9</v>
      </c>
      <c r="C255">
        <f t="shared" si="28"/>
        <v>249</v>
      </c>
      <c r="D255">
        <v>3233</v>
      </c>
      <c r="E255">
        <f t="shared" si="25"/>
        <v>2976</v>
      </c>
    </row>
    <row r="256" spans="1:5">
      <c r="A256">
        <f t="shared" si="26"/>
        <v>25</v>
      </c>
      <c r="B256">
        <f t="shared" si="27"/>
        <v>10</v>
      </c>
      <c r="C256">
        <f t="shared" si="28"/>
        <v>250</v>
      </c>
      <c r="D256">
        <v>1.33</v>
      </c>
      <c r="E256">
        <f t="shared" si="25"/>
        <v>2988</v>
      </c>
    </row>
    <row r="257" spans="1:5">
      <c r="A257">
        <f t="shared" si="26"/>
        <v>26</v>
      </c>
      <c r="B257">
        <f t="shared" si="27"/>
        <v>1</v>
      </c>
      <c r="C257">
        <f t="shared" si="28"/>
        <v>251</v>
      </c>
      <c r="D257">
        <v>681</v>
      </c>
      <c r="E257">
        <f t="shared" si="25"/>
        <v>3000</v>
      </c>
    </row>
    <row r="258" spans="1:5">
      <c r="A258">
        <f t="shared" si="26"/>
        <v>26</v>
      </c>
      <c r="B258">
        <f t="shared" si="27"/>
        <v>2</v>
      </c>
      <c r="C258">
        <f t="shared" si="28"/>
        <v>252</v>
      </c>
      <c r="D258">
        <v>133</v>
      </c>
      <c r="E258">
        <f t="shared" si="25"/>
        <v>3012</v>
      </c>
    </row>
    <row r="259" spans="1:5">
      <c r="A259">
        <f t="shared" si="26"/>
        <v>26</v>
      </c>
      <c r="B259">
        <f t="shared" si="27"/>
        <v>3</v>
      </c>
      <c r="C259">
        <f t="shared" si="28"/>
        <v>253</v>
      </c>
      <c r="D259" s="1">
        <v>226</v>
      </c>
      <c r="E259">
        <f t="shared" si="25"/>
        <v>3024</v>
      </c>
    </row>
    <row r="260" spans="1:5">
      <c r="A260">
        <f t="shared" si="26"/>
        <v>26</v>
      </c>
      <c r="B260">
        <f t="shared" si="27"/>
        <v>4</v>
      </c>
      <c r="C260">
        <f t="shared" si="28"/>
        <v>254</v>
      </c>
      <c r="D260" s="1" t="s">
        <v>92</v>
      </c>
      <c r="E260">
        <f t="shared" si="25"/>
        <v>3036</v>
      </c>
    </row>
    <row r="261" spans="1:5">
      <c r="A261">
        <f t="shared" si="26"/>
        <v>26</v>
      </c>
      <c r="B261">
        <f t="shared" si="27"/>
        <v>5</v>
      </c>
      <c r="C261">
        <f t="shared" si="28"/>
        <v>255</v>
      </c>
      <c r="D261">
        <v>12.5</v>
      </c>
      <c r="E261">
        <f t="shared" si="25"/>
        <v>3048</v>
      </c>
    </row>
    <row r="262" spans="1:5">
      <c r="A262">
        <f t="shared" si="26"/>
        <v>26</v>
      </c>
      <c r="B262">
        <f t="shared" si="27"/>
        <v>6</v>
      </c>
      <c r="C262">
        <f t="shared" si="28"/>
        <v>256</v>
      </c>
      <c r="D262">
        <v>3.4</v>
      </c>
      <c r="E262">
        <f t="shared" si="25"/>
        <v>3060</v>
      </c>
    </row>
    <row r="263" spans="1:5">
      <c r="A263">
        <f t="shared" si="26"/>
        <v>26</v>
      </c>
      <c r="B263">
        <f t="shared" si="27"/>
        <v>7</v>
      </c>
      <c r="C263">
        <f t="shared" si="28"/>
        <v>257</v>
      </c>
      <c r="D263" s="1">
        <v>3329</v>
      </c>
      <c r="E263">
        <f t="shared" si="25"/>
        <v>3072</v>
      </c>
    </row>
    <row r="264" spans="1:5">
      <c r="A264">
        <f t="shared" si="26"/>
        <v>26</v>
      </c>
      <c r="B264">
        <f t="shared" si="27"/>
        <v>8</v>
      </c>
      <c r="C264">
        <f t="shared" si="28"/>
        <v>258</v>
      </c>
      <c r="D264">
        <v>5933</v>
      </c>
      <c r="E264">
        <f t="shared" si="25"/>
        <v>3084</v>
      </c>
    </row>
    <row r="265" spans="1:5">
      <c r="A265">
        <f t="shared" si="26"/>
        <v>26</v>
      </c>
      <c r="B265">
        <f t="shared" si="27"/>
        <v>9</v>
      </c>
      <c r="C265">
        <f t="shared" si="28"/>
        <v>259</v>
      </c>
      <c r="D265" s="1">
        <v>1.78</v>
      </c>
      <c r="E265">
        <f t="shared" ref="E265:E328" si="29">E264+12</f>
        <v>3096</v>
      </c>
    </row>
    <row r="266" spans="1:5">
      <c r="A266">
        <f t="shared" si="26"/>
        <v>26</v>
      </c>
      <c r="B266">
        <f t="shared" si="27"/>
        <v>10</v>
      </c>
      <c r="C266">
        <f t="shared" si="28"/>
        <v>260</v>
      </c>
      <c r="D266">
        <v>526</v>
      </c>
      <c r="E266">
        <f t="shared" si="29"/>
        <v>3108</v>
      </c>
    </row>
    <row r="267" spans="1:5">
      <c r="A267">
        <f t="shared" si="26"/>
        <v>27</v>
      </c>
      <c r="B267">
        <f t="shared" si="27"/>
        <v>1</v>
      </c>
      <c r="C267">
        <f t="shared" si="28"/>
        <v>261</v>
      </c>
      <c r="D267">
        <v>9218</v>
      </c>
      <c r="E267">
        <f t="shared" si="29"/>
        <v>3120</v>
      </c>
    </row>
    <row r="268" spans="1:5">
      <c r="A268">
        <f t="shared" si="26"/>
        <v>27</v>
      </c>
      <c r="B268">
        <f t="shared" si="27"/>
        <v>2</v>
      </c>
      <c r="C268">
        <f t="shared" si="28"/>
        <v>262</v>
      </c>
      <c r="D268">
        <v>2.77</v>
      </c>
      <c r="E268">
        <f t="shared" si="29"/>
        <v>3132</v>
      </c>
    </row>
    <row r="269" spans="1:5">
      <c r="A269">
        <f t="shared" si="26"/>
        <v>27</v>
      </c>
      <c r="B269">
        <f t="shared" si="27"/>
        <v>3</v>
      </c>
      <c r="C269">
        <f t="shared" si="28"/>
        <v>263</v>
      </c>
      <c r="D269" s="1">
        <v>818</v>
      </c>
      <c r="E269">
        <f t="shared" si="29"/>
        <v>3144</v>
      </c>
    </row>
    <row r="270" spans="1:5">
      <c r="A270">
        <f t="shared" si="26"/>
        <v>27</v>
      </c>
      <c r="B270">
        <f t="shared" si="27"/>
        <v>4</v>
      </c>
      <c r="C270">
        <f t="shared" si="28"/>
        <v>264</v>
      </c>
      <c r="D270" s="1">
        <v>222</v>
      </c>
      <c r="E270">
        <f t="shared" si="29"/>
        <v>3156</v>
      </c>
    </row>
    <row r="271" spans="1:5">
      <c r="A271">
        <f t="shared" si="26"/>
        <v>27</v>
      </c>
      <c r="B271">
        <f t="shared" si="27"/>
        <v>5</v>
      </c>
      <c r="C271">
        <f t="shared" si="28"/>
        <v>265</v>
      </c>
      <c r="D271" s="1">
        <v>228</v>
      </c>
      <c r="E271">
        <f t="shared" si="29"/>
        <v>3168</v>
      </c>
    </row>
    <row r="272" spans="1:5">
      <c r="A272">
        <f t="shared" si="26"/>
        <v>27</v>
      </c>
      <c r="B272">
        <f t="shared" si="27"/>
        <v>6</v>
      </c>
      <c r="C272">
        <f t="shared" si="28"/>
        <v>266</v>
      </c>
      <c r="D272" t="s">
        <v>92</v>
      </c>
      <c r="E272">
        <f t="shared" si="29"/>
        <v>3180</v>
      </c>
    </row>
    <row r="273" spans="1:5">
      <c r="A273">
        <f t="shared" si="26"/>
        <v>27</v>
      </c>
      <c r="B273">
        <f t="shared" si="27"/>
        <v>7</v>
      </c>
      <c r="C273">
        <f t="shared" si="28"/>
        <v>267</v>
      </c>
      <c r="D273" s="1">
        <v>10</v>
      </c>
      <c r="E273">
        <f t="shared" si="29"/>
        <v>3192</v>
      </c>
    </row>
    <row r="274" spans="1:5">
      <c r="A274">
        <f t="shared" ref="A274:A286" si="30">A264+1</f>
        <v>27</v>
      </c>
      <c r="B274">
        <f t="shared" ref="B274:B286" si="31">B264</f>
        <v>8</v>
      </c>
      <c r="C274">
        <f t="shared" si="28"/>
        <v>268</v>
      </c>
      <c r="D274">
        <v>3.1</v>
      </c>
      <c r="E274">
        <f t="shared" si="29"/>
        <v>3204</v>
      </c>
    </row>
    <row r="275" spans="1:5">
      <c r="A275">
        <f t="shared" si="30"/>
        <v>27</v>
      </c>
      <c r="B275">
        <f t="shared" si="31"/>
        <v>9</v>
      </c>
      <c r="C275">
        <f t="shared" si="28"/>
        <v>269</v>
      </c>
      <c r="D275" s="1">
        <v>3592</v>
      </c>
      <c r="E275">
        <f t="shared" si="29"/>
        <v>3216</v>
      </c>
    </row>
    <row r="276" spans="1:5">
      <c r="A276">
        <f t="shared" si="30"/>
        <v>27</v>
      </c>
      <c r="B276">
        <f t="shared" si="31"/>
        <v>10</v>
      </c>
      <c r="C276">
        <f t="shared" si="28"/>
        <v>270</v>
      </c>
      <c r="D276">
        <v>4717</v>
      </c>
      <c r="E276">
        <f t="shared" si="29"/>
        <v>3228</v>
      </c>
    </row>
    <row r="277" spans="1:5">
      <c r="A277">
        <f t="shared" si="30"/>
        <v>28</v>
      </c>
      <c r="B277">
        <f t="shared" si="31"/>
        <v>1</v>
      </c>
      <c r="C277">
        <f t="shared" si="28"/>
        <v>271</v>
      </c>
      <c r="D277">
        <v>1.31</v>
      </c>
      <c r="E277">
        <f t="shared" si="29"/>
        <v>3240</v>
      </c>
    </row>
    <row r="278" spans="1:5">
      <c r="A278">
        <f t="shared" si="30"/>
        <v>28</v>
      </c>
      <c r="B278">
        <f t="shared" si="31"/>
        <v>2</v>
      </c>
      <c r="C278">
        <f t="shared" si="28"/>
        <v>272</v>
      </c>
      <c r="D278">
        <v>430</v>
      </c>
      <c r="E278">
        <f t="shared" si="29"/>
        <v>3252</v>
      </c>
    </row>
    <row r="279" spans="1:5">
      <c r="A279">
        <f t="shared" si="30"/>
        <v>28</v>
      </c>
      <c r="B279">
        <f t="shared" si="31"/>
        <v>3</v>
      </c>
      <c r="C279">
        <f t="shared" si="28"/>
        <v>273</v>
      </c>
      <c r="D279" s="1">
        <v>7130</v>
      </c>
      <c r="E279">
        <f t="shared" si="29"/>
        <v>3264</v>
      </c>
    </row>
    <row r="280" spans="1:5">
      <c r="A280">
        <f t="shared" si="30"/>
        <v>28</v>
      </c>
      <c r="B280">
        <f t="shared" si="31"/>
        <v>4</v>
      </c>
      <c r="C280">
        <f t="shared" si="28"/>
        <v>274</v>
      </c>
      <c r="D280" s="1">
        <v>1.98</v>
      </c>
      <c r="E280">
        <f t="shared" si="29"/>
        <v>3276</v>
      </c>
    </row>
    <row r="281" spans="1:5">
      <c r="A281">
        <f t="shared" si="30"/>
        <v>28</v>
      </c>
      <c r="B281">
        <f t="shared" si="31"/>
        <v>5</v>
      </c>
      <c r="C281">
        <f t="shared" ref="C281:C344" si="32">C280+1</f>
        <v>275</v>
      </c>
      <c r="D281" s="1">
        <v>649</v>
      </c>
      <c r="E281">
        <f t="shared" si="29"/>
        <v>3288</v>
      </c>
    </row>
    <row r="282" spans="1:5">
      <c r="A282">
        <f t="shared" si="30"/>
        <v>28</v>
      </c>
      <c r="B282">
        <f t="shared" si="31"/>
        <v>6</v>
      </c>
      <c r="C282">
        <f t="shared" si="32"/>
        <v>276</v>
      </c>
      <c r="D282">
        <v>198</v>
      </c>
      <c r="E282">
        <f t="shared" si="29"/>
        <v>3300</v>
      </c>
    </row>
    <row r="283" spans="1:5">
      <c r="A283">
        <f t="shared" si="30"/>
        <v>28</v>
      </c>
      <c r="B283">
        <f t="shared" si="31"/>
        <v>7</v>
      </c>
      <c r="C283">
        <f t="shared" si="32"/>
        <v>277</v>
      </c>
      <c r="D283" s="1">
        <v>229</v>
      </c>
      <c r="E283">
        <f t="shared" si="29"/>
        <v>3312</v>
      </c>
    </row>
    <row r="284" spans="1:5">
      <c r="A284">
        <f t="shared" si="30"/>
        <v>28</v>
      </c>
      <c r="B284">
        <f t="shared" si="31"/>
        <v>8</v>
      </c>
      <c r="C284">
        <f t="shared" si="32"/>
        <v>278</v>
      </c>
      <c r="D284" t="s">
        <v>92</v>
      </c>
      <c r="E284">
        <f t="shared" si="29"/>
        <v>3324</v>
      </c>
    </row>
    <row r="285" spans="1:5">
      <c r="A285">
        <f t="shared" si="30"/>
        <v>28</v>
      </c>
      <c r="B285">
        <f t="shared" si="31"/>
        <v>9</v>
      </c>
      <c r="C285">
        <f t="shared" si="32"/>
        <v>279</v>
      </c>
      <c r="D285" s="1">
        <v>10</v>
      </c>
      <c r="E285">
        <f t="shared" si="29"/>
        <v>3336</v>
      </c>
    </row>
    <row r="286" spans="1:5">
      <c r="A286">
        <f t="shared" si="30"/>
        <v>28</v>
      </c>
      <c r="B286">
        <f t="shared" si="31"/>
        <v>10</v>
      </c>
      <c r="C286">
        <f t="shared" si="32"/>
        <v>280</v>
      </c>
      <c r="D286">
        <v>5</v>
      </c>
      <c r="E286">
        <f t="shared" si="29"/>
        <v>3348</v>
      </c>
    </row>
    <row r="287" spans="1:5">
      <c r="C287">
        <f t="shared" si="32"/>
        <v>281</v>
      </c>
      <c r="D287">
        <v>3201</v>
      </c>
      <c r="E287">
        <f t="shared" si="29"/>
        <v>3360</v>
      </c>
    </row>
    <row r="288" spans="1:5">
      <c r="C288">
        <f t="shared" si="32"/>
        <v>282</v>
      </c>
      <c r="D288">
        <v>10916</v>
      </c>
      <c r="E288">
        <f t="shared" si="29"/>
        <v>3372</v>
      </c>
    </row>
    <row r="289" spans="3:5">
      <c r="C289">
        <f t="shared" si="32"/>
        <v>283</v>
      </c>
      <c r="D289" s="1">
        <v>3.41</v>
      </c>
      <c r="E289">
        <f t="shared" si="29"/>
        <v>3384</v>
      </c>
    </row>
    <row r="290" spans="3:5">
      <c r="C290">
        <f t="shared" si="32"/>
        <v>284</v>
      </c>
      <c r="D290" s="1">
        <v>679</v>
      </c>
      <c r="E290">
        <f t="shared" si="29"/>
        <v>3396</v>
      </c>
    </row>
    <row r="291" spans="3:5">
      <c r="C291">
        <f t="shared" si="32"/>
        <v>285</v>
      </c>
      <c r="D291" s="1">
        <v>10866</v>
      </c>
      <c r="E291">
        <f t="shared" si="29"/>
        <v>3408</v>
      </c>
    </row>
    <row r="292" spans="3:5">
      <c r="C292">
        <f t="shared" si="32"/>
        <v>286</v>
      </c>
      <c r="D292">
        <v>3.39</v>
      </c>
      <c r="E292">
        <f t="shared" si="29"/>
        <v>3420</v>
      </c>
    </row>
    <row r="293" spans="3:5">
      <c r="C293">
        <f t="shared" si="32"/>
        <v>287</v>
      </c>
      <c r="D293" s="1">
        <v>676</v>
      </c>
      <c r="E293">
        <f t="shared" si="29"/>
        <v>3432</v>
      </c>
    </row>
    <row r="294" spans="3:5">
      <c r="C294">
        <f t="shared" si="32"/>
        <v>288</v>
      </c>
      <c r="D294">
        <v>339</v>
      </c>
      <c r="E294">
        <f t="shared" si="29"/>
        <v>3444</v>
      </c>
    </row>
    <row r="295" spans="3:5">
      <c r="C295">
        <f t="shared" si="32"/>
        <v>289</v>
      </c>
      <c r="D295" s="1">
        <v>231</v>
      </c>
      <c r="E295">
        <f t="shared" si="29"/>
        <v>3456</v>
      </c>
    </row>
    <row r="296" spans="3:5">
      <c r="C296">
        <f t="shared" si="32"/>
        <v>290</v>
      </c>
      <c r="D296" t="s">
        <v>92</v>
      </c>
      <c r="E296">
        <f t="shared" si="29"/>
        <v>3468</v>
      </c>
    </row>
    <row r="297" spans="3:5">
      <c r="C297">
        <f t="shared" si="32"/>
        <v>291</v>
      </c>
      <c r="D297">
        <v>7.5</v>
      </c>
      <c r="E297">
        <f t="shared" si="29"/>
        <v>3480</v>
      </c>
    </row>
    <row r="298" spans="3:5">
      <c r="C298">
        <f t="shared" si="32"/>
        <v>292</v>
      </c>
      <c r="D298">
        <v>2.2000000000000002</v>
      </c>
      <c r="E298">
        <f t="shared" si="29"/>
        <v>3492</v>
      </c>
    </row>
    <row r="299" spans="3:5">
      <c r="C299">
        <f t="shared" si="32"/>
        <v>293</v>
      </c>
      <c r="D299" s="1">
        <v>3521</v>
      </c>
      <c r="E299">
        <f t="shared" si="29"/>
        <v>3504</v>
      </c>
    </row>
    <row r="300" spans="3:5">
      <c r="C300">
        <f t="shared" si="32"/>
        <v>294</v>
      </c>
      <c r="D300" s="1">
        <v>4217</v>
      </c>
      <c r="E300">
        <f t="shared" si="29"/>
        <v>3516</v>
      </c>
    </row>
    <row r="301" spans="3:5">
      <c r="C301">
        <f t="shared" si="32"/>
        <v>295</v>
      </c>
      <c r="D301" s="1">
        <v>1.2</v>
      </c>
      <c r="E301">
        <f t="shared" si="29"/>
        <v>3528</v>
      </c>
    </row>
    <row r="302" spans="3:5">
      <c r="C302">
        <f t="shared" si="32"/>
        <v>296</v>
      </c>
      <c r="D302">
        <v>544</v>
      </c>
      <c r="E302">
        <f t="shared" si="29"/>
        <v>3540</v>
      </c>
    </row>
    <row r="303" spans="3:5">
      <c r="C303">
        <f t="shared" si="32"/>
        <v>297</v>
      </c>
      <c r="D303" s="1">
        <v>3996</v>
      </c>
      <c r="E303">
        <f t="shared" si="29"/>
        <v>3552</v>
      </c>
    </row>
    <row r="304" spans="3:5">
      <c r="C304">
        <f t="shared" si="32"/>
        <v>298</v>
      </c>
      <c r="D304">
        <v>1.1299999999999999</v>
      </c>
      <c r="E304">
        <f t="shared" si="29"/>
        <v>3564</v>
      </c>
    </row>
    <row r="305" spans="3:5">
      <c r="C305">
        <f t="shared" si="32"/>
        <v>299</v>
      </c>
      <c r="D305" s="1">
        <v>515</v>
      </c>
      <c r="E305">
        <f t="shared" si="29"/>
        <v>3576</v>
      </c>
    </row>
    <row r="306" spans="3:5">
      <c r="C306">
        <f t="shared" si="32"/>
        <v>300</v>
      </c>
      <c r="D306">
        <v>151</v>
      </c>
      <c r="E306">
        <f t="shared" si="29"/>
        <v>3588</v>
      </c>
    </row>
    <row r="307" spans="3:5">
      <c r="C307">
        <f t="shared" si="32"/>
        <v>301</v>
      </c>
      <c r="D307">
        <v>362</v>
      </c>
      <c r="E307">
        <f t="shared" si="29"/>
        <v>3600</v>
      </c>
    </row>
    <row r="308" spans="3:5">
      <c r="C308">
        <f t="shared" si="32"/>
        <v>302</v>
      </c>
      <c r="D308" t="s">
        <v>92</v>
      </c>
      <c r="E308">
        <f t="shared" si="29"/>
        <v>3612</v>
      </c>
    </row>
    <row r="309" spans="3:5">
      <c r="C309">
        <f t="shared" si="32"/>
        <v>303</v>
      </c>
      <c r="D309" s="1">
        <v>18</v>
      </c>
      <c r="E309">
        <f t="shared" si="29"/>
        <v>3624</v>
      </c>
    </row>
    <row r="310" spans="3:5">
      <c r="C310">
        <f t="shared" si="32"/>
        <v>304</v>
      </c>
      <c r="D310" s="1">
        <v>3.3</v>
      </c>
      <c r="E310">
        <f t="shared" si="29"/>
        <v>3636</v>
      </c>
    </row>
    <row r="311" spans="3:5">
      <c r="C311">
        <f t="shared" si="32"/>
        <v>305</v>
      </c>
      <c r="D311" s="1">
        <v>2949</v>
      </c>
      <c r="E311">
        <f t="shared" si="29"/>
        <v>3648</v>
      </c>
    </row>
    <row r="312" spans="3:5">
      <c r="C312">
        <f t="shared" si="32"/>
        <v>306</v>
      </c>
      <c r="D312">
        <v>2957</v>
      </c>
      <c r="E312">
        <f t="shared" si="29"/>
        <v>3660</v>
      </c>
    </row>
    <row r="313" spans="3:5">
      <c r="C313">
        <f t="shared" si="32"/>
        <v>307</v>
      </c>
      <c r="D313" s="1">
        <v>1</v>
      </c>
      <c r="E313">
        <f t="shared" si="29"/>
        <v>3672</v>
      </c>
    </row>
    <row r="314" spans="3:5">
      <c r="C314">
        <f t="shared" si="32"/>
        <v>308</v>
      </c>
      <c r="D314">
        <v>300</v>
      </c>
      <c r="E314">
        <f t="shared" si="29"/>
        <v>3684</v>
      </c>
    </row>
    <row r="315" spans="3:5">
      <c r="C315">
        <f t="shared" si="32"/>
        <v>309</v>
      </c>
      <c r="D315" s="1">
        <v>6242</v>
      </c>
      <c r="E315">
        <f t="shared" si="29"/>
        <v>3696</v>
      </c>
    </row>
    <row r="316" spans="3:5">
      <c r="C316">
        <f t="shared" si="32"/>
        <v>310</v>
      </c>
      <c r="D316">
        <v>2.12</v>
      </c>
      <c r="E316">
        <f t="shared" si="29"/>
        <v>3708</v>
      </c>
    </row>
    <row r="317" spans="3:5">
      <c r="C317">
        <f t="shared" si="32"/>
        <v>311</v>
      </c>
      <c r="D317">
        <v>632</v>
      </c>
      <c r="E317">
        <f t="shared" si="29"/>
        <v>3720</v>
      </c>
    </row>
    <row r="318" spans="3:5">
      <c r="C318">
        <f t="shared" si="32"/>
        <v>312</v>
      </c>
      <c r="D318">
        <v>118</v>
      </c>
      <c r="E318">
        <f t="shared" si="29"/>
        <v>3732</v>
      </c>
    </row>
    <row r="319" spans="3:5">
      <c r="C319">
        <f t="shared" si="32"/>
        <v>313</v>
      </c>
      <c r="D319" s="1">
        <v>363</v>
      </c>
      <c r="E319">
        <f t="shared" si="29"/>
        <v>3744</v>
      </c>
    </row>
    <row r="320" spans="3:5">
      <c r="C320">
        <f t="shared" si="32"/>
        <v>314</v>
      </c>
      <c r="D320" s="1" t="s">
        <v>92</v>
      </c>
      <c r="E320">
        <f t="shared" si="29"/>
        <v>3756</v>
      </c>
    </row>
    <row r="321" spans="3:5">
      <c r="C321">
        <f t="shared" si="32"/>
        <v>315</v>
      </c>
      <c r="D321" s="1">
        <v>20</v>
      </c>
      <c r="E321">
        <f t="shared" si="29"/>
        <v>3768</v>
      </c>
    </row>
    <row r="322" spans="3:5">
      <c r="C322">
        <f t="shared" si="32"/>
        <v>316</v>
      </c>
      <c r="D322">
        <v>7.7</v>
      </c>
      <c r="E322">
        <f t="shared" si="29"/>
        <v>3780</v>
      </c>
    </row>
    <row r="323" spans="3:5">
      <c r="C323">
        <f t="shared" si="32"/>
        <v>317</v>
      </c>
      <c r="D323" s="1">
        <v>3551</v>
      </c>
      <c r="E323">
        <f t="shared" si="29"/>
        <v>3792</v>
      </c>
    </row>
    <row r="324" spans="3:5">
      <c r="C324">
        <f t="shared" si="32"/>
        <v>318</v>
      </c>
      <c r="D324">
        <v>17324</v>
      </c>
      <c r="E324">
        <f t="shared" si="29"/>
        <v>3804</v>
      </c>
    </row>
    <row r="325" spans="3:5">
      <c r="C325">
        <f t="shared" si="32"/>
        <v>319</v>
      </c>
      <c r="D325" s="1">
        <v>4.88</v>
      </c>
      <c r="E325">
        <f t="shared" si="29"/>
        <v>3816</v>
      </c>
    </row>
    <row r="326" spans="3:5">
      <c r="C326">
        <f t="shared" si="32"/>
        <v>320</v>
      </c>
      <c r="D326">
        <v>634</v>
      </c>
      <c r="E326">
        <f t="shared" si="29"/>
        <v>3828</v>
      </c>
    </row>
    <row r="327" spans="3:5">
      <c r="C327">
        <f t="shared" si="32"/>
        <v>321</v>
      </c>
      <c r="D327">
        <v>19162</v>
      </c>
      <c r="E327">
        <f t="shared" si="29"/>
        <v>3840</v>
      </c>
    </row>
    <row r="328" spans="3:5">
      <c r="C328">
        <f t="shared" si="32"/>
        <v>322</v>
      </c>
      <c r="D328">
        <v>5.4</v>
      </c>
      <c r="E328">
        <f t="shared" si="29"/>
        <v>3852</v>
      </c>
    </row>
    <row r="329" spans="3:5">
      <c r="C329">
        <f t="shared" si="32"/>
        <v>323</v>
      </c>
      <c r="D329" s="1">
        <v>701</v>
      </c>
      <c r="E329">
        <f t="shared" ref="E329:E392" si="33">E328+12</f>
        <v>3864</v>
      </c>
    </row>
    <row r="330" spans="3:5">
      <c r="C330">
        <f t="shared" si="32"/>
        <v>324</v>
      </c>
      <c r="D330" s="1">
        <v>270</v>
      </c>
      <c r="E330">
        <f t="shared" si="33"/>
        <v>3876</v>
      </c>
    </row>
    <row r="331" spans="3:5">
      <c r="C331">
        <f t="shared" si="32"/>
        <v>325</v>
      </c>
      <c r="D331" s="1">
        <v>364</v>
      </c>
      <c r="E331">
        <f t="shared" si="33"/>
        <v>3888</v>
      </c>
    </row>
    <row r="332" spans="3:5">
      <c r="C332">
        <f t="shared" si="32"/>
        <v>326</v>
      </c>
      <c r="D332" t="s">
        <v>92</v>
      </c>
      <c r="E332">
        <f t="shared" si="33"/>
        <v>3900</v>
      </c>
    </row>
    <row r="333" spans="3:5">
      <c r="C333">
        <f t="shared" si="32"/>
        <v>327</v>
      </c>
      <c r="D333" s="1">
        <v>25</v>
      </c>
      <c r="E333">
        <f t="shared" si="33"/>
        <v>3912</v>
      </c>
    </row>
    <row r="334" spans="3:5">
      <c r="C334">
        <f t="shared" si="32"/>
        <v>328</v>
      </c>
      <c r="D334">
        <v>6.4</v>
      </c>
      <c r="E334">
        <f t="shared" si="33"/>
        <v>3924</v>
      </c>
    </row>
    <row r="335" spans="3:5">
      <c r="C335">
        <f t="shared" si="32"/>
        <v>329</v>
      </c>
      <c r="D335" s="1">
        <v>2519</v>
      </c>
      <c r="E335">
        <f t="shared" si="33"/>
        <v>3936</v>
      </c>
    </row>
    <row r="336" spans="3:5">
      <c r="C336">
        <f t="shared" si="32"/>
        <v>330</v>
      </c>
      <c r="D336">
        <v>7967</v>
      </c>
      <c r="E336">
        <f t="shared" si="33"/>
        <v>3948</v>
      </c>
    </row>
    <row r="337" spans="3:5">
      <c r="C337">
        <f t="shared" si="32"/>
        <v>331</v>
      </c>
      <c r="D337">
        <v>3.16</v>
      </c>
      <c r="E337">
        <f t="shared" si="33"/>
        <v>3960</v>
      </c>
    </row>
    <row r="338" spans="3:5">
      <c r="C338">
        <f t="shared" si="32"/>
        <v>332</v>
      </c>
      <c r="D338">
        <v>498</v>
      </c>
      <c r="E338">
        <f t="shared" si="33"/>
        <v>3972</v>
      </c>
    </row>
    <row r="339" spans="3:5">
      <c r="C339">
        <f t="shared" si="32"/>
        <v>333</v>
      </c>
      <c r="D339" s="1">
        <v>11192</v>
      </c>
      <c r="E339">
        <f t="shared" si="33"/>
        <v>3984</v>
      </c>
    </row>
    <row r="340" spans="3:5">
      <c r="C340">
        <f t="shared" si="32"/>
        <v>334</v>
      </c>
      <c r="D340" s="1">
        <v>4.4400000000000004</v>
      </c>
      <c r="E340">
        <f t="shared" si="33"/>
        <v>3996</v>
      </c>
    </row>
    <row r="341" spans="3:5">
      <c r="C341">
        <f t="shared" si="32"/>
        <v>335</v>
      </c>
      <c r="D341" s="1">
        <v>699</v>
      </c>
      <c r="E341">
        <f t="shared" si="33"/>
        <v>4008</v>
      </c>
    </row>
    <row r="342" spans="3:5">
      <c r="C342">
        <f t="shared" si="32"/>
        <v>336</v>
      </c>
      <c r="D342">
        <v>178</v>
      </c>
      <c r="E342">
        <f t="shared" si="33"/>
        <v>4020</v>
      </c>
    </row>
    <row r="343" spans="3:5">
      <c r="C343">
        <f t="shared" si="32"/>
        <v>337</v>
      </c>
      <c r="D343" s="1">
        <v>365</v>
      </c>
      <c r="E343">
        <f t="shared" si="33"/>
        <v>4032</v>
      </c>
    </row>
    <row r="344" spans="3:5">
      <c r="C344">
        <f t="shared" si="32"/>
        <v>338</v>
      </c>
      <c r="D344" t="s">
        <v>92</v>
      </c>
      <c r="E344">
        <f t="shared" si="33"/>
        <v>4044</v>
      </c>
    </row>
    <row r="345" spans="3:5">
      <c r="C345">
        <f t="shared" ref="C345:C408" si="34">C344+1</f>
        <v>339</v>
      </c>
      <c r="D345" s="1">
        <v>25</v>
      </c>
      <c r="E345">
        <f t="shared" si="33"/>
        <v>4056</v>
      </c>
    </row>
    <row r="346" spans="3:5">
      <c r="C346">
        <f t="shared" si="34"/>
        <v>340</v>
      </c>
      <c r="D346">
        <v>6.8</v>
      </c>
      <c r="E346">
        <f t="shared" si="33"/>
        <v>4068</v>
      </c>
    </row>
    <row r="347" spans="3:5">
      <c r="C347">
        <f t="shared" si="34"/>
        <v>341</v>
      </c>
      <c r="D347">
        <v>2653</v>
      </c>
      <c r="E347">
        <f t="shared" si="33"/>
        <v>4080</v>
      </c>
    </row>
    <row r="348" spans="3:5">
      <c r="C348">
        <f t="shared" si="34"/>
        <v>342</v>
      </c>
      <c r="D348">
        <v>9885</v>
      </c>
      <c r="E348">
        <f t="shared" si="33"/>
        <v>4092</v>
      </c>
    </row>
    <row r="349" spans="3:5">
      <c r="C349">
        <f t="shared" si="34"/>
        <v>343</v>
      </c>
      <c r="D349" s="1">
        <v>3.73</v>
      </c>
      <c r="E349">
        <f t="shared" si="33"/>
        <v>4104</v>
      </c>
    </row>
    <row r="350" spans="3:5">
      <c r="C350">
        <f t="shared" si="34"/>
        <v>344</v>
      </c>
      <c r="D350" s="1">
        <v>551</v>
      </c>
      <c r="E350">
        <f t="shared" si="33"/>
        <v>4116</v>
      </c>
    </row>
    <row r="351" spans="3:5">
      <c r="C351">
        <f t="shared" si="34"/>
        <v>345</v>
      </c>
      <c r="D351" s="1">
        <v>11426</v>
      </c>
      <c r="E351">
        <f t="shared" si="33"/>
        <v>4128</v>
      </c>
    </row>
    <row r="352" spans="3:5">
      <c r="C352">
        <f t="shared" si="34"/>
        <v>346</v>
      </c>
      <c r="D352">
        <v>4.3099999999999996</v>
      </c>
      <c r="E352">
        <f t="shared" si="33"/>
        <v>4140</v>
      </c>
    </row>
    <row r="353" spans="3:5">
      <c r="C353">
        <f t="shared" si="34"/>
        <v>347</v>
      </c>
      <c r="D353" s="1">
        <v>636</v>
      </c>
      <c r="E353">
        <f t="shared" si="33"/>
        <v>4152</v>
      </c>
    </row>
    <row r="354" spans="3:5">
      <c r="C354">
        <f t="shared" si="34"/>
        <v>348</v>
      </c>
      <c r="D354">
        <v>172</v>
      </c>
      <c r="E354">
        <f t="shared" si="33"/>
        <v>4164</v>
      </c>
    </row>
    <row r="355" spans="3:5">
      <c r="C355">
        <f t="shared" si="34"/>
        <v>349</v>
      </c>
      <c r="D355" s="1">
        <v>366</v>
      </c>
      <c r="E355">
        <f t="shared" si="33"/>
        <v>4176</v>
      </c>
    </row>
    <row r="356" spans="3:5">
      <c r="C356">
        <f t="shared" si="34"/>
        <v>350</v>
      </c>
      <c r="D356" t="s">
        <v>92</v>
      </c>
      <c r="E356">
        <f t="shared" si="33"/>
        <v>4188</v>
      </c>
    </row>
    <row r="357" spans="3:5">
      <c r="C357">
        <f t="shared" si="34"/>
        <v>351</v>
      </c>
      <c r="D357">
        <v>25</v>
      </c>
      <c r="E357">
        <f t="shared" si="33"/>
        <v>4200</v>
      </c>
    </row>
    <row r="358" spans="3:5">
      <c r="C358">
        <f t="shared" si="34"/>
        <v>352</v>
      </c>
      <c r="D358">
        <v>6.7</v>
      </c>
      <c r="E358">
        <f t="shared" si="33"/>
        <v>4212</v>
      </c>
    </row>
    <row r="359" spans="3:5">
      <c r="C359">
        <f t="shared" si="34"/>
        <v>353</v>
      </c>
      <c r="D359" s="1">
        <v>2465</v>
      </c>
      <c r="E359">
        <f t="shared" si="33"/>
        <v>4224</v>
      </c>
    </row>
    <row r="360" spans="3:5">
      <c r="C360">
        <f t="shared" si="34"/>
        <v>354</v>
      </c>
      <c r="D360" s="1">
        <v>8993</v>
      </c>
      <c r="E360">
        <f t="shared" si="33"/>
        <v>4236</v>
      </c>
    </row>
    <row r="361" spans="3:5">
      <c r="C361">
        <f t="shared" si="34"/>
        <v>355</v>
      </c>
      <c r="D361">
        <v>3.65</v>
      </c>
      <c r="E361">
        <f t="shared" si="33"/>
        <v>4248</v>
      </c>
    </row>
    <row r="362" spans="3:5">
      <c r="C362">
        <f t="shared" si="34"/>
        <v>356</v>
      </c>
      <c r="D362">
        <v>544</v>
      </c>
      <c r="E362">
        <f t="shared" si="33"/>
        <v>4260</v>
      </c>
    </row>
    <row r="363" spans="3:5">
      <c r="C363">
        <f t="shared" si="34"/>
        <v>357</v>
      </c>
      <c r="D363">
        <v>5748</v>
      </c>
      <c r="E363">
        <f t="shared" si="33"/>
        <v>4272</v>
      </c>
    </row>
    <row r="364" spans="3:5">
      <c r="C364">
        <f t="shared" si="34"/>
        <v>358</v>
      </c>
      <c r="D364">
        <v>2.33</v>
      </c>
      <c r="E364">
        <f t="shared" si="33"/>
        <v>4284</v>
      </c>
    </row>
    <row r="365" spans="3:5">
      <c r="C365">
        <f t="shared" si="34"/>
        <v>359</v>
      </c>
      <c r="D365" s="1">
        <v>348</v>
      </c>
      <c r="E365">
        <f t="shared" si="33"/>
        <v>4296</v>
      </c>
    </row>
    <row r="366" spans="3:5">
      <c r="C366">
        <f t="shared" si="34"/>
        <v>360</v>
      </c>
      <c r="D366">
        <v>93</v>
      </c>
      <c r="E366">
        <f t="shared" si="33"/>
        <v>4308</v>
      </c>
    </row>
    <row r="367" spans="3:5">
      <c r="C367">
        <f t="shared" si="34"/>
        <v>361</v>
      </c>
      <c r="D367">
        <v>367</v>
      </c>
      <c r="E367">
        <f t="shared" si="33"/>
        <v>4320</v>
      </c>
    </row>
    <row r="368" spans="3:5">
      <c r="C368">
        <f t="shared" si="34"/>
        <v>362</v>
      </c>
      <c r="D368" t="s">
        <v>92</v>
      </c>
      <c r="E368">
        <f t="shared" si="33"/>
        <v>4332</v>
      </c>
    </row>
    <row r="369" spans="3:5">
      <c r="C369">
        <f t="shared" si="34"/>
        <v>363</v>
      </c>
      <c r="D369" s="1">
        <v>25</v>
      </c>
      <c r="E369">
        <f t="shared" si="33"/>
        <v>4344</v>
      </c>
    </row>
    <row r="370" spans="3:5">
      <c r="C370">
        <f t="shared" si="34"/>
        <v>364</v>
      </c>
      <c r="D370" s="1">
        <v>8.1</v>
      </c>
      <c r="E370">
        <f t="shared" si="33"/>
        <v>4356</v>
      </c>
    </row>
    <row r="371" spans="3:5">
      <c r="C371">
        <f t="shared" si="34"/>
        <v>365</v>
      </c>
      <c r="D371">
        <v>4211</v>
      </c>
      <c r="E371">
        <f t="shared" si="33"/>
        <v>4368</v>
      </c>
    </row>
    <row r="372" spans="3:5">
      <c r="C372">
        <f t="shared" si="34"/>
        <v>366</v>
      </c>
      <c r="D372">
        <v>6606</v>
      </c>
      <c r="E372">
        <f t="shared" si="33"/>
        <v>4380</v>
      </c>
    </row>
    <row r="373" spans="3:5">
      <c r="C373">
        <f t="shared" si="34"/>
        <v>367</v>
      </c>
      <c r="D373" s="1">
        <v>1.57</v>
      </c>
      <c r="E373">
        <f t="shared" si="33"/>
        <v>4392</v>
      </c>
    </row>
    <row r="374" spans="3:5">
      <c r="C374">
        <f t="shared" si="34"/>
        <v>368</v>
      </c>
      <c r="D374">
        <v>194</v>
      </c>
      <c r="E374">
        <f t="shared" si="33"/>
        <v>4404</v>
      </c>
    </row>
    <row r="375" spans="3:5">
      <c r="C375">
        <f t="shared" si="34"/>
        <v>369</v>
      </c>
      <c r="D375" s="1">
        <v>13694</v>
      </c>
      <c r="E375">
        <f t="shared" si="33"/>
        <v>4416</v>
      </c>
    </row>
    <row r="376" spans="3:5">
      <c r="C376">
        <f t="shared" si="34"/>
        <v>370</v>
      </c>
      <c r="D376">
        <v>3.25</v>
      </c>
      <c r="E376">
        <f t="shared" si="33"/>
        <v>4428</v>
      </c>
    </row>
    <row r="377" spans="3:5">
      <c r="C377">
        <f t="shared" si="34"/>
        <v>371</v>
      </c>
      <c r="D377">
        <v>402</v>
      </c>
      <c r="E377">
        <f t="shared" si="33"/>
        <v>4440</v>
      </c>
    </row>
    <row r="378" spans="3:5">
      <c r="C378">
        <f t="shared" si="34"/>
        <v>372</v>
      </c>
      <c r="D378">
        <v>130</v>
      </c>
      <c r="E378">
        <f t="shared" si="33"/>
        <v>4452</v>
      </c>
    </row>
    <row r="379" spans="3:5">
      <c r="C379">
        <f t="shared" si="34"/>
        <v>373</v>
      </c>
      <c r="D379" s="1">
        <v>368</v>
      </c>
      <c r="E379">
        <f t="shared" si="33"/>
        <v>4464</v>
      </c>
    </row>
    <row r="380" spans="3:5">
      <c r="C380">
        <f t="shared" si="34"/>
        <v>374</v>
      </c>
      <c r="D380" s="1" t="s">
        <v>92</v>
      </c>
      <c r="E380">
        <f t="shared" si="33"/>
        <v>4476</v>
      </c>
    </row>
    <row r="381" spans="3:5">
      <c r="C381">
        <f t="shared" si="34"/>
        <v>375</v>
      </c>
      <c r="D381">
        <v>25</v>
      </c>
      <c r="E381">
        <f t="shared" si="33"/>
        <v>4488</v>
      </c>
    </row>
    <row r="382" spans="3:5">
      <c r="C382">
        <f t="shared" si="34"/>
        <v>376</v>
      </c>
      <c r="D382">
        <v>6.4</v>
      </c>
      <c r="E382">
        <f t="shared" si="33"/>
        <v>4500</v>
      </c>
    </row>
    <row r="383" spans="3:5">
      <c r="C383">
        <f t="shared" si="34"/>
        <v>377</v>
      </c>
      <c r="D383">
        <v>3296</v>
      </c>
      <c r="E383">
        <f t="shared" si="33"/>
        <v>4512</v>
      </c>
    </row>
    <row r="384" spans="3:5">
      <c r="C384">
        <f t="shared" si="34"/>
        <v>378</v>
      </c>
      <c r="D384">
        <v>8716</v>
      </c>
      <c r="E384">
        <f t="shared" si="33"/>
        <v>4524</v>
      </c>
    </row>
    <row r="385" spans="3:5">
      <c r="C385">
        <f t="shared" si="34"/>
        <v>379</v>
      </c>
      <c r="D385">
        <v>2.64</v>
      </c>
      <c r="E385">
        <f t="shared" si="33"/>
        <v>4536</v>
      </c>
    </row>
    <row r="386" spans="3:5">
      <c r="C386">
        <f t="shared" si="34"/>
        <v>380</v>
      </c>
      <c r="D386">
        <v>412</v>
      </c>
      <c r="E386">
        <f t="shared" si="33"/>
        <v>4548</v>
      </c>
    </row>
    <row r="387" spans="3:5">
      <c r="C387">
        <f t="shared" si="34"/>
        <v>381</v>
      </c>
      <c r="D387">
        <v>11203</v>
      </c>
      <c r="E387">
        <f t="shared" si="33"/>
        <v>4560</v>
      </c>
    </row>
    <row r="388" spans="3:5">
      <c r="C388">
        <f t="shared" si="34"/>
        <v>382</v>
      </c>
      <c r="D388">
        <v>3.4</v>
      </c>
      <c r="E388">
        <f t="shared" si="33"/>
        <v>4572</v>
      </c>
    </row>
    <row r="389" spans="3:5">
      <c r="C389">
        <f t="shared" si="34"/>
        <v>383</v>
      </c>
      <c r="D389" s="1">
        <v>529</v>
      </c>
      <c r="E389">
        <f t="shared" si="33"/>
        <v>4584</v>
      </c>
    </row>
    <row r="390" spans="3:5">
      <c r="C390">
        <f t="shared" si="34"/>
        <v>384</v>
      </c>
      <c r="D390" s="1">
        <v>136</v>
      </c>
      <c r="E390">
        <f t="shared" si="33"/>
        <v>4596</v>
      </c>
    </row>
    <row r="391" spans="3:5">
      <c r="C391">
        <f t="shared" si="34"/>
        <v>385</v>
      </c>
      <c r="D391">
        <v>369</v>
      </c>
      <c r="E391">
        <f t="shared" si="33"/>
        <v>4608</v>
      </c>
    </row>
    <row r="392" spans="3:5">
      <c r="C392">
        <f t="shared" si="34"/>
        <v>386</v>
      </c>
      <c r="D392" t="s">
        <v>92</v>
      </c>
      <c r="E392">
        <f t="shared" si="33"/>
        <v>4620</v>
      </c>
    </row>
    <row r="393" spans="3:5">
      <c r="C393">
        <f t="shared" si="34"/>
        <v>387</v>
      </c>
      <c r="D393">
        <v>25</v>
      </c>
      <c r="E393">
        <f t="shared" ref="E393:E456" si="35">E392+12</f>
        <v>4632</v>
      </c>
    </row>
    <row r="394" spans="3:5">
      <c r="C394">
        <f t="shared" si="34"/>
        <v>388</v>
      </c>
      <c r="D394">
        <v>7</v>
      </c>
      <c r="E394">
        <f t="shared" si="35"/>
        <v>4644</v>
      </c>
    </row>
    <row r="395" spans="3:5">
      <c r="C395">
        <f t="shared" si="34"/>
        <v>389</v>
      </c>
      <c r="D395">
        <v>4093</v>
      </c>
      <c r="E395">
        <f t="shared" si="35"/>
        <v>4656</v>
      </c>
    </row>
    <row r="396" spans="3:5">
      <c r="C396">
        <f t="shared" si="34"/>
        <v>390</v>
      </c>
      <c r="D396">
        <v>16352</v>
      </c>
      <c r="E396">
        <f t="shared" si="35"/>
        <v>4668</v>
      </c>
    </row>
    <row r="397" spans="3:5">
      <c r="C397">
        <f t="shared" si="34"/>
        <v>391</v>
      </c>
      <c r="D397">
        <v>3.99</v>
      </c>
      <c r="E397">
        <f t="shared" si="35"/>
        <v>4680</v>
      </c>
    </row>
    <row r="398" spans="3:5">
      <c r="C398">
        <f t="shared" si="34"/>
        <v>392</v>
      </c>
      <c r="D398">
        <v>572</v>
      </c>
      <c r="E398">
        <f t="shared" si="35"/>
        <v>4692</v>
      </c>
    </row>
    <row r="399" spans="3:5">
      <c r="C399">
        <f t="shared" si="34"/>
        <v>393</v>
      </c>
      <c r="D399" s="1">
        <v>17755</v>
      </c>
      <c r="E399">
        <f t="shared" si="35"/>
        <v>4704</v>
      </c>
    </row>
    <row r="400" spans="3:5">
      <c r="C400">
        <f t="shared" si="34"/>
        <v>394</v>
      </c>
      <c r="D400" s="1">
        <v>4.34</v>
      </c>
      <c r="E400">
        <f t="shared" si="35"/>
        <v>4716</v>
      </c>
    </row>
    <row r="401" spans="3:5">
      <c r="C401">
        <f t="shared" si="34"/>
        <v>395</v>
      </c>
      <c r="D401">
        <v>621</v>
      </c>
      <c r="E401">
        <f t="shared" si="35"/>
        <v>4728</v>
      </c>
    </row>
    <row r="402" spans="3:5">
      <c r="C402">
        <f t="shared" si="34"/>
        <v>396</v>
      </c>
      <c r="D402">
        <v>174</v>
      </c>
      <c r="E402">
        <f t="shared" si="35"/>
        <v>4740</v>
      </c>
    </row>
    <row r="403" spans="3:5">
      <c r="C403">
        <f t="shared" si="34"/>
        <v>397</v>
      </c>
      <c r="D403">
        <v>370</v>
      </c>
      <c r="E403">
        <f t="shared" si="35"/>
        <v>4752</v>
      </c>
    </row>
    <row r="404" spans="3:5">
      <c r="C404">
        <f t="shared" si="34"/>
        <v>398</v>
      </c>
      <c r="D404" t="s">
        <v>92</v>
      </c>
      <c r="E404">
        <f t="shared" si="35"/>
        <v>4764</v>
      </c>
    </row>
    <row r="405" spans="3:5">
      <c r="C405">
        <f t="shared" si="34"/>
        <v>399</v>
      </c>
      <c r="D405" s="1">
        <v>25</v>
      </c>
      <c r="E405">
        <f t="shared" si="35"/>
        <v>4776</v>
      </c>
    </row>
    <row r="406" spans="3:5">
      <c r="C406">
        <f t="shared" si="34"/>
        <v>400</v>
      </c>
      <c r="D406">
        <v>6.9</v>
      </c>
      <c r="E406">
        <f t="shared" si="35"/>
        <v>4788</v>
      </c>
    </row>
    <row r="407" spans="3:5">
      <c r="C407">
        <f t="shared" si="34"/>
        <v>401</v>
      </c>
      <c r="D407">
        <v>4103</v>
      </c>
      <c r="E407">
        <f t="shared" si="35"/>
        <v>4800</v>
      </c>
    </row>
    <row r="408" spans="3:5">
      <c r="C408">
        <f t="shared" si="34"/>
        <v>402</v>
      </c>
      <c r="D408">
        <v>16699</v>
      </c>
      <c r="E408">
        <f t="shared" si="35"/>
        <v>4812</v>
      </c>
    </row>
    <row r="409" spans="3:5">
      <c r="C409">
        <f t="shared" ref="C409:C472" si="36">C408+1</f>
        <v>403</v>
      </c>
      <c r="D409" s="1">
        <v>4.07</v>
      </c>
      <c r="E409">
        <f t="shared" si="35"/>
        <v>4824</v>
      </c>
    </row>
    <row r="410" spans="3:5">
      <c r="C410">
        <f t="shared" si="36"/>
        <v>404</v>
      </c>
      <c r="D410" s="1">
        <v>593</v>
      </c>
      <c r="E410">
        <f t="shared" si="35"/>
        <v>4836</v>
      </c>
    </row>
    <row r="411" spans="3:5">
      <c r="C411">
        <f t="shared" si="36"/>
        <v>405</v>
      </c>
      <c r="D411">
        <v>18029</v>
      </c>
      <c r="E411">
        <f t="shared" si="35"/>
        <v>4848</v>
      </c>
    </row>
    <row r="412" spans="3:5">
      <c r="C412">
        <f t="shared" si="36"/>
        <v>406</v>
      </c>
      <c r="D412">
        <v>4.3899999999999997</v>
      </c>
      <c r="E412">
        <f t="shared" si="35"/>
        <v>4860</v>
      </c>
    </row>
    <row r="413" spans="3:5">
      <c r="C413">
        <f t="shared" si="36"/>
        <v>407</v>
      </c>
      <c r="D413">
        <v>641</v>
      </c>
      <c r="E413">
        <f t="shared" si="35"/>
        <v>4872</v>
      </c>
    </row>
    <row r="414" spans="3:5">
      <c r="C414">
        <f t="shared" si="36"/>
        <v>408</v>
      </c>
      <c r="D414">
        <v>176</v>
      </c>
      <c r="E414">
        <f t="shared" si="35"/>
        <v>4884</v>
      </c>
    </row>
    <row r="415" spans="3:5">
      <c r="C415">
        <f t="shared" si="36"/>
        <v>409</v>
      </c>
      <c r="D415">
        <v>371</v>
      </c>
      <c r="E415">
        <f t="shared" si="35"/>
        <v>4896</v>
      </c>
    </row>
    <row r="416" spans="3:5">
      <c r="C416">
        <f t="shared" si="36"/>
        <v>410</v>
      </c>
      <c r="D416" t="s">
        <v>92</v>
      </c>
      <c r="E416">
        <f t="shared" si="35"/>
        <v>4908</v>
      </c>
    </row>
    <row r="417" spans="3:5">
      <c r="C417">
        <f t="shared" si="36"/>
        <v>411</v>
      </c>
      <c r="D417">
        <v>25</v>
      </c>
      <c r="E417">
        <f t="shared" si="35"/>
        <v>4920</v>
      </c>
    </row>
    <row r="418" spans="3:5">
      <c r="C418">
        <f t="shared" si="36"/>
        <v>412</v>
      </c>
      <c r="D418">
        <v>6.4</v>
      </c>
      <c r="E418">
        <f t="shared" si="35"/>
        <v>4932</v>
      </c>
    </row>
    <row r="419" spans="3:5">
      <c r="C419">
        <f t="shared" si="36"/>
        <v>413</v>
      </c>
      <c r="D419" s="1">
        <v>4174</v>
      </c>
      <c r="E419">
        <f t="shared" si="35"/>
        <v>4944</v>
      </c>
    </row>
    <row r="420" spans="3:5">
      <c r="C420">
        <f t="shared" si="36"/>
        <v>414</v>
      </c>
      <c r="D420" s="1">
        <v>14282</v>
      </c>
      <c r="E420">
        <f t="shared" si="35"/>
        <v>4956</v>
      </c>
    </row>
    <row r="421" spans="3:5">
      <c r="C421">
        <f t="shared" si="36"/>
        <v>415</v>
      </c>
      <c r="D421">
        <v>3.42</v>
      </c>
      <c r="E421">
        <f t="shared" si="35"/>
        <v>4968</v>
      </c>
    </row>
    <row r="422" spans="3:5">
      <c r="C422">
        <f t="shared" si="36"/>
        <v>416</v>
      </c>
      <c r="D422">
        <v>535</v>
      </c>
      <c r="E422">
        <f t="shared" si="35"/>
        <v>4980</v>
      </c>
    </row>
    <row r="423" spans="3:5">
      <c r="C423">
        <f t="shared" si="36"/>
        <v>417</v>
      </c>
      <c r="D423">
        <v>18399</v>
      </c>
      <c r="E423">
        <f t="shared" si="35"/>
        <v>4992</v>
      </c>
    </row>
    <row r="424" spans="3:5">
      <c r="C424">
        <f t="shared" si="36"/>
        <v>418</v>
      </c>
      <c r="D424">
        <v>4.41</v>
      </c>
      <c r="E424">
        <f t="shared" si="35"/>
        <v>5004</v>
      </c>
    </row>
    <row r="425" spans="3:5">
      <c r="C425">
        <f t="shared" si="36"/>
        <v>419</v>
      </c>
      <c r="D425">
        <v>690</v>
      </c>
      <c r="E425">
        <f t="shared" si="35"/>
        <v>5016</v>
      </c>
    </row>
    <row r="426" spans="3:5">
      <c r="C426">
        <f t="shared" si="36"/>
        <v>420</v>
      </c>
      <c r="D426">
        <v>176</v>
      </c>
      <c r="E426">
        <f t="shared" si="35"/>
        <v>5028</v>
      </c>
    </row>
    <row r="427" spans="3:5">
      <c r="C427">
        <f t="shared" si="36"/>
        <v>421</v>
      </c>
      <c r="D427">
        <v>372</v>
      </c>
      <c r="E427">
        <f t="shared" si="35"/>
        <v>5040</v>
      </c>
    </row>
    <row r="428" spans="3:5">
      <c r="C428">
        <f t="shared" si="36"/>
        <v>422</v>
      </c>
      <c r="D428" t="s">
        <v>93</v>
      </c>
      <c r="E428">
        <f t="shared" si="35"/>
        <v>5052</v>
      </c>
    </row>
    <row r="429" spans="3:5">
      <c r="C429">
        <f t="shared" si="36"/>
        <v>423</v>
      </c>
      <c r="D429" s="1">
        <v>12.5</v>
      </c>
      <c r="E429">
        <f t="shared" si="35"/>
        <v>5064</v>
      </c>
    </row>
    <row r="430" spans="3:5">
      <c r="C430">
        <f t="shared" si="36"/>
        <v>424</v>
      </c>
      <c r="D430" s="1">
        <v>3.1</v>
      </c>
      <c r="E430">
        <f t="shared" si="35"/>
        <v>5076</v>
      </c>
    </row>
    <row r="431" spans="3:5">
      <c r="C431">
        <f t="shared" si="36"/>
        <v>425</v>
      </c>
      <c r="D431">
        <v>1040</v>
      </c>
      <c r="E431">
        <f t="shared" si="35"/>
        <v>5088</v>
      </c>
    </row>
    <row r="432" spans="3:5">
      <c r="C432">
        <f t="shared" si="36"/>
        <v>426</v>
      </c>
      <c r="D432">
        <v>1886</v>
      </c>
      <c r="E432">
        <f t="shared" si="35"/>
        <v>5100</v>
      </c>
    </row>
    <row r="433" spans="3:5">
      <c r="C433">
        <f t="shared" si="36"/>
        <v>427</v>
      </c>
      <c r="D433" s="1">
        <v>1.81</v>
      </c>
      <c r="E433">
        <f t="shared" si="35"/>
        <v>5112</v>
      </c>
    </row>
    <row r="434" spans="3:5">
      <c r="C434">
        <f t="shared" si="36"/>
        <v>428</v>
      </c>
      <c r="D434">
        <v>576</v>
      </c>
      <c r="E434">
        <f t="shared" si="35"/>
        <v>5124</v>
      </c>
    </row>
    <row r="435" spans="3:5">
      <c r="C435">
        <f t="shared" si="36"/>
        <v>429</v>
      </c>
      <c r="D435" s="1">
        <v>2986</v>
      </c>
      <c r="E435">
        <f t="shared" si="35"/>
        <v>5136</v>
      </c>
    </row>
    <row r="436" spans="3:5">
      <c r="C436">
        <f t="shared" si="36"/>
        <v>430</v>
      </c>
      <c r="D436">
        <v>2.87</v>
      </c>
      <c r="E436">
        <f t="shared" si="35"/>
        <v>5148</v>
      </c>
    </row>
    <row r="437" spans="3:5">
      <c r="C437">
        <f t="shared" si="36"/>
        <v>431</v>
      </c>
      <c r="D437">
        <v>912</v>
      </c>
      <c r="E437">
        <f t="shared" si="35"/>
        <v>5160</v>
      </c>
    </row>
    <row r="438" spans="3:5">
      <c r="C438">
        <f t="shared" si="36"/>
        <v>432</v>
      </c>
      <c r="D438">
        <v>230</v>
      </c>
      <c r="E438">
        <f t="shared" si="35"/>
        <v>5172</v>
      </c>
    </row>
    <row r="439" spans="3:5">
      <c r="C439">
        <f t="shared" si="36"/>
        <v>433</v>
      </c>
      <c r="D439" s="1">
        <v>375</v>
      </c>
      <c r="E439">
        <f t="shared" si="35"/>
        <v>5184</v>
      </c>
    </row>
    <row r="440" spans="3:5">
      <c r="C440">
        <f t="shared" si="36"/>
        <v>434</v>
      </c>
      <c r="D440" s="1" t="s">
        <v>93</v>
      </c>
      <c r="E440">
        <f t="shared" si="35"/>
        <v>5196</v>
      </c>
    </row>
    <row r="441" spans="3:5">
      <c r="C441">
        <f t="shared" si="36"/>
        <v>435</v>
      </c>
      <c r="D441">
        <v>15</v>
      </c>
      <c r="E441">
        <f t="shared" si="35"/>
        <v>5208</v>
      </c>
    </row>
    <row r="442" spans="3:5">
      <c r="C442">
        <f t="shared" si="36"/>
        <v>436</v>
      </c>
      <c r="D442">
        <v>3.4</v>
      </c>
      <c r="E442">
        <f t="shared" si="35"/>
        <v>5220</v>
      </c>
    </row>
    <row r="443" spans="3:5">
      <c r="C443">
        <f t="shared" si="36"/>
        <v>437</v>
      </c>
      <c r="D443" s="1">
        <v>1384</v>
      </c>
      <c r="E443">
        <f t="shared" si="35"/>
        <v>5232</v>
      </c>
    </row>
    <row r="444" spans="3:5">
      <c r="C444">
        <f t="shared" si="36"/>
        <v>438</v>
      </c>
      <c r="D444">
        <v>2734</v>
      </c>
      <c r="E444">
        <f t="shared" si="35"/>
        <v>5244</v>
      </c>
    </row>
    <row r="445" spans="3:5">
      <c r="C445">
        <f t="shared" si="36"/>
        <v>439</v>
      </c>
      <c r="D445" s="1">
        <v>1.98</v>
      </c>
      <c r="E445">
        <f t="shared" si="35"/>
        <v>5256</v>
      </c>
    </row>
    <row r="446" spans="3:5">
      <c r="C446">
        <f t="shared" si="36"/>
        <v>440</v>
      </c>
      <c r="D446">
        <v>574</v>
      </c>
      <c r="E446">
        <f t="shared" si="35"/>
        <v>5268</v>
      </c>
    </row>
    <row r="447" spans="3:5">
      <c r="C447">
        <f t="shared" si="36"/>
        <v>441</v>
      </c>
      <c r="D447">
        <v>4083</v>
      </c>
      <c r="E447">
        <f t="shared" si="35"/>
        <v>5280</v>
      </c>
    </row>
    <row r="448" spans="3:5">
      <c r="C448">
        <f t="shared" si="36"/>
        <v>442</v>
      </c>
      <c r="D448">
        <v>2.95</v>
      </c>
      <c r="E448">
        <f t="shared" si="35"/>
        <v>5292</v>
      </c>
    </row>
    <row r="449" spans="3:5">
      <c r="C449">
        <f t="shared" si="36"/>
        <v>443</v>
      </c>
      <c r="D449" s="1">
        <v>857</v>
      </c>
      <c r="E449">
        <f t="shared" si="35"/>
        <v>5304</v>
      </c>
    </row>
    <row r="450" spans="3:5">
      <c r="C450">
        <f t="shared" si="36"/>
        <v>444</v>
      </c>
      <c r="D450" s="1">
        <v>197</v>
      </c>
      <c r="E450">
        <f t="shared" si="35"/>
        <v>5316</v>
      </c>
    </row>
    <row r="451" spans="3:5">
      <c r="C451">
        <f t="shared" si="36"/>
        <v>445</v>
      </c>
      <c r="D451">
        <v>376</v>
      </c>
      <c r="E451">
        <f t="shared" si="35"/>
        <v>5328</v>
      </c>
    </row>
    <row r="452" spans="3:5">
      <c r="C452">
        <f t="shared" si="36"/>
        <v>446</v>
      </c>
      <c r="D452" t="s">
        <v>93</v>
      </c>
      <c r="E452">
        <f t="shared" si="35"/>
        <v>5340</v>
      </c>
    </row>
    <row r="453" spans="3:5">
      <c r="C453">
        <f t="shared" si="36"/>
        <v>447</v>
      </c>
      <c r="D453" s="1">
        <v>15</v>
      </c>
      <c r="E453">
        <f t="shared" si="35"/>
        <v>5352</v>
      </c>
    </row>
    <row r="454" spans="3:5">
      <c r="C454">
        <f t="shared" si="36"/>
        <v>448</v>
      </c>
      <c r="D454">
        <v>1.4</v>
      </c>
      <c r="E454">
        <f t="shared" si="35"/>
        <v>5364</v>
      </c>
    </row>
    <row r="455" spans="3:5">
      <c r="C455">
        <f t="shared" si="36"/>
        <v>449</v>
      </c>
      <c r="D455" s="1">
        <v>1438</v>
      </c>
      <c r="E455">
        <f t="shared" si="35"/>
        <v>5376</v>
      </c>
    </row>
    <row r="456" spans="3:5">
      <c r="C456">
        <f t="shared" si="36"/>
        <v>450</v>
      </c>
      <c r="D456">
        <v>1169</v>
      </c>
      <c r="E456">
        <f t="shared" si="35"/>
        <v>5388</v>
      </c>
    </row>
    <row r="457" spans="3:5">
      <c r="C457">
        <f t="shared" si="36"/>
        <v>451</v>
      </c>
      <c r="D457">
        <v>0.81</v>
      </c>
      <c r="E457">
        <f t="shared" ref="E457:E520" si="37">E456+12</f>
        <v>5400</v>
      </c>
    </row>
    <row r="458" spans="3:5">
      <c r="C458">
        <f t="shared" si="36"/>
        <v>452</v>
      </c>
      <c r="D458">
        <v>586</v>
      </c>
      <c r="E458">
        <f t="shared" si="37"/>
        <v>5412</v>
      </c>
    </row>
    <row r="459" spans="3:5">
      <c r="C459">
        <f t="shared" si="36"/>
        <v>453</v>
      </c>
      <c r="D459" s="1">
        <v>1003</v>
      </c>
      <c r="E459">
        <f t="shared" si="37"/>
        <v>5424</v>
      </c>
    </row>
    <row r="460" spans="3:5">
      <c r="C460">
        <f t="shared" si="36"/>
        <v>454</v>
      </c>
      <c r="D460" s="1">
        <v>0.7</v>
      </c>
      <c r="E460">
        <f t="shared" si="37"/>
        <v>5436</v>
      </c>
    </row>
    <row r="461" spans="3:5">
      <c r="C461">
        <f t="shared" si="36"/>
        <v>455</v>
      </c>
      <c r="D461">
        <v>503</v>
      </c>
      <c r="E461">
        <f t="shared" si="37"/>
        <v>5448</v>
      </c>
    </row>
    <row r="462" spans="3:5">
      <c r="C462">
        <f t="shared" si="36"/>
        <v>456</v>
      </c>
      <c r="D462">
        <v>46</v>
      </c>
      <c r="E462">
        <f t="shared" si="37"/>
        <v>5460</v>
      </c>
    </row>
    <row r="463" spans="3:5">
      <c r="C463">
        <f t="shared" si="36"/>
        <v>457</v>
      </c>
      <c r="D463" s="1">
        <v>377</v>
      </c>
      <c r="E463">
        <f t="shared" si="37"/>
        <v>5472</v>
      </c>
    </row>
    <row r="464" spans="3:5">
      <c r="C464">
        <f t="shared" si="36"/>
        <v>458</v>
      </c>
      <c r="D464" t="s">
        <v>93</v>
      </c>
      <c r="E464">
        <f t="shared" si="37"/>
        <v>5484</v>
      </c>
    </row>
    <row r="465" spans="3:5">
      <c r="C465">
        <f t="shared" si="36"/>
        <v>459</v>
      </c>
      <c r="D465" s="1">
        <v>7.5</v>
      </c>
      <c r="E465">
        <f t="shared" si="37"/>
        <v>5496</v>
      </c>
    </row>
    <row r="466" spans="3:5">
      <c r="C466">
        <f t="shared" si="36"/>
        <v>460</v>
      </c>
      <c r="D466">
        <v>1.4</v>
      </c>
      <c r="E466">
        <f t="shared" si="37"/>
        <v>5508</v>
      </c>
    </row>
    <row r="467" spans="3:5">
      <c r="C467">
        <f t="shared" si="36"/>
        <v>461</v>
      </c>
      <c r="D467">
        <v>1427</v>
      </c>
      <c r="E467">
        <f t="shared" si="37"/>
        <v>5520</v>
      </c>
    </row>
    <row r="468" spans="3:5">
      <c r="C468">
        <f t="shared" si="36"/>
        <v>462</v>
      </c>
      <c r="D468">
        <v>1149</v>
      </c>
      <c r="E468">
        <f t="shared" si="37"/>
        <v>5532</v>
      </c>
    </row>
    <row r="469" spans="3:5">
      <c r="C469">
        <f t="shared" si="36"/>
        <v>463</v>
      </c>
      <c r="D469" s="1">
        <v>0.8</v>
      </c>
      <c r="E469">
        <f t="shared" si="37"/>
        <v>5544</v>
      </c>
    </row>
    <row r="470" spans="3:5">
      <c r="C470">
        <f t="shared" si="36"/>
        <v>464</v>
      </c>
      <c r="D470" s="1">
        <v>560</v>
      </c>
      <c r="E470">
        <f t="shared" si="37"/>
        <v>5556</v>
      </c>
    </row>
    <row r="471" spans="3:5">
      <c r="C471">
        <f t="shared" si="36"/>
        <v>465</v>
      </c>
      <c r="D471">
        <v>1615</v>
      </c>
      <c r="E471">
        <f t="shared" si="37"/>
        <v>5568</v>
      </c>
    </row>
    <row r="472" spans="3:5">
      <c r="C472">
        <f t="shared" si="36"/>
        <v>466</v>
      </c>
      <c r="D472">
        <v>1.1299999999999999</v>
      </c>
      <c r="E472">
        <f t="shared" si="37"/>
        <v>5580</v>
      </c>
    </row>
    <row r="473" spans="3:5">
      <c r="C473">
        <f t="shared" ref="C473:C536" si="38">C472+1</f>
        <v>467</v>
      </c>
      <c r="D473" s="1">
        <v>787</v>
      </c>
      <c r="E473">
        <f t="shared" si="37"/>
        <v>5592</v>
      </c>
    </row>
    <row r="474" spans="3:5">
      <c r="C474">
        <f t="shared" si="38"/>
        <v>468</v>
      </c>
      <c r="D474">
        <v>151</v>
      </c>
      <c r="E474">
        <f t="shared" si="37"/>
        <v>5604</v>
      </c>
    </row>
    <row r="475" spans="3:5">
      <c r="C475">
        <f t="shared" si="38"/>
        <v>469</v>
      </c>
      <c r="D475" s="1">
        <v>378</v>
      </c>
      <c r="E475">
        <f t="shared" si="37"/>
        <v>5616</v>
      </c>
    </row>
    <row r="476" spans="3:5">
      <c r="C476">
        <f t="shared" si="38"/>
        <v>470</v>
      </c>
      <c r="D476" t="s">
        <v>93</v>
      </c>
      <c r="E476">
        <f t="shared" si="37"/>
        <v>5628</v>
      </c>
    </row>
    <row r="477" spans="3:5">
      <c r="C477">
        <f t="shared" si="38"/>
        <v>471</v>
      </c>
      <c r="D477">
        <v>10</v>
      </c>
      <c r="E477">
        <f t="shared" si="37"/>
        <v>5640</v>
      </c>
    </row>
    <row r="478" spans="3:5">
      <c r="C478">
        <f t="shared" si="38"/>
        <v>472</v>
      </c>
      <c r="D478">
        <v>3.3</v>
      </c>
      <c r="E478">
        <f t="shared" si="37"/>
        <v>5652</v>
      </c>
    </row>
    <row r="479" spans="3:5">
      <c r="C479">
        <f t="shared" si="38"/>
        <v>473</v>
      </c>
      <c r="D479" s="1">
        <v>1374</v>
      </c>
      <c r="E479">
        <f t="shared" si="37"/>
        <v>5664</v>
      </c>
    </row>
    <row r="480" spans="3:5">
      <c r="C480">
        <f t="shared" si="38"/>
        <v>474</v>
      </c>
      <c r="D480" s="1">
        <v>1963</v>
      </c>
      <c r="E480">
        <f t="shared" si="37"/>
        <v>5676</v>
      </c>
    </row>
    <row r="481" spans="3:5">
      <c r="C481">
        <f t="shared" si="38"/>
        <v>475</v>
      </c>
      <c r="D481">
        <v>1.43</v>
      </c>
      <c r="E481">
        <f t="shared" si="37"/>
        <v>5688</v>
      </c>
    </row>
    <row r="482" spans="3:5">
      <c r="C482">
        <f t="shared" si="38"/>
        <v>476</v>
      </c>
      <c r="D482">
        <v>427</v>
      </c>
      <c r="E482">
        <f t="shared" si="37"/>
        <v>5700</v>
      </c>
    </row>
    <row r="483" spans="3:5">
      <c r="C483">
        <f t="shared" si="38"/>
        <v>477</v>
      </c>
      <c r="D483" s="1">
        <v>2907</v>
      </c>
      <c r="E483">
        <f t="shared" si="37"/>
        <v>5712</v>
      </c>
    </row>
    <row r="484" spans="3:5">
      <c r="C484">
        <f t="shared" si="38"/>
        <v>478</v>
      </c>
      <c r="D484">
        <v>2.12</v>
      </c>
      <c r="E484">
        <f t="shared" si="37"/>
        <v>5724</v>
      </c>
    </row>
    <row r="485" spans="3:5">
      <c r="C485">
        <f t="shared" si="38"/>
        <v>479</v>
      </c>
      <c r="D485" s="1">
        <v>632</v>
      </c>
      <c r="E485">
        <f t="shared" si="37"/>
        <v>5736</v>
      </c>
    </row>
    <row r="486" spans="3:5">
      <c r="C486">
        <f t="shared" si="38"/>
        <v>480</v>
      </c>
      <c r="D486">
        <v>212</v>
      </c>
      <c r="E486">
        <f t="shared" si="37"/>
        <v>5748</v>
      </c>
    </row>
    <row r="487" spans="3:5">
      <c r="C487">
        <f t="shared" si="38"/>
        <v>481</v>
      </c>
      <c r="D487">
        <v>379</v>
      </c>
      <c r="E487">
        <f t="shared" si="37"/>
        <v>5760</v>
      </c>
    </row>
    <row r="488" spans="3:5">
      <c r="C488">
        <f t="shared" si="38"/>
        <v>482</v>
      </c>
      <c r="D488" t="s">
        <v>93</v>
      </c>
      <c r="E488">
        <f t="shared" si="37"/>
        <v>5772</v>
      </c>
    </row>
    <row r="489" spans="3:5">
      <c r="C489">
        <f t="shared" si="38"/>
        <v>483</v>
      </c>
      <c r="D489" s="1">
        <v>5</v>
      </c>
      <c r="E489">
        <f t="shared" si="37"/>
        <v>5784</v>
      </c>
    </row>
    <row r="490" spans="3:5">
      <c r="C490">
        <f t="shared" si="38"/>
        <v>484</v>
      </c>
      <c r="D490" s="1">
        <v>0.6</v>
      </c>
      <c r="E490">
        <f t="shared" si="37"/>
        <v>5796</v>
      </c>
    </row>
    <row r="491" spans="3:5">
      <c r="C491">
        <f t="shared" si="38"/>
        <v>485</v>
      </c>
      <c r="D491">
        <v>1428</v>
      </c>
      <c r="E491">
        <f t="shared" si="37"/>
        <v>5808</v>
      </c>
    </row>
    <row r="492" spans="3:5">
      <c r="C492">
        <f t="shared" si="38"/>
        <v>486</v>
      </c>
      <c r="D492">
        <v>451</v>
      </c>
      <c r="E492">
        <f t="shared" si="37"/>
        <v>5820</v>
      </c>
    </row>
    <row r="493" spans="3:5">
      <c r="C493">
        <f t="shared" si="38"/>
        <v>487</v>
      </c>
      <c r="D493" s="1">
        <v>0.32</v>
      </c>
      <c r="E493">
        <f t="shared" si="37"/>
        <v>5832</v>
      </c>
    </row>
    <row r="494" spans="3:5">
      <c r="C494">
        <f t="shared" si="38"/>
        <v>488</v>
      </c>
      <c r="D494">
        <v>545</v>
      </c>
      <c r="E494">
        <f t="shared" si="37"/>
        <v>5844</v>
      </c>
    </row>
    <row r="495" spans="3:5">
      <c r="C495">
        <f t="shared" si="38"/>
        <v>489</v>
      </c>
      <c r="D495" s="1">
        <v>707</v>
      </c>
      <c r="E495">
        <f t="shared" si="37"/>
        <v>5856</v>
      </c>
    </row>
    <row r="496" spans="3:5">
      <c r="C496">
        <f t="shared" si="38"/>
        <v>490</v>
      </c>
      <c r="D496">
        <v>0.49</v>
      </c>
      <c r="E496">
        <f t="shared" si="37"/>
        <v>5868</v>
      </c>
    </row>
    <row r="497" spans="3:5">
      <c r="C497">
        <f t="shared" si="38"/>
        <v>491</v>
      </c>
      <c r="D497">
        <v>853</v>
      </c>
      <c r="E497">
        <f t="shared" si="37"/>
        <v>5880</v>
      </c>
    </row>
    <row r="498" spans="3:5">
      <c r="C498">
        <f t="shared" si="38"/>
        <v>492</v>
      </c>
      <c r="D498">
        <v>99</v>
      </c>
      <c r="E498">
        <f t="shared" si="37"/>
        <v>5892</v>
      </c>
    </row>
    <row r="499" spans="3:5">
      <c r="C499">
        <f t="shared" si="38"/>
        <v>493</v>
      </c>
      <c r="D499" s="1">
        <v>380</v>
      </c>
      <c r="E499">
        <f t="shared" si="37"/>
        <v>5904</v>
      </c>
    </row>
    <row r="500" spans="3:5">
      <c r="C500">
        <f t="shared" si="38"/>
        <v>494</v>
      </c>
      <c r="D500" s="1" t="s">
        <v>93</v>
      </c>
      <c r="E500">
        <f t="shared" si="37"/>
        <v>5916</v>
      </c>
    </row>
    <row r="501" spans="3:5">
      <c r="C501">
        <f t="shared" si="38"/>
        <v>495</v>
      </c>
      <c r="D501">
        <v>7.5</v>
      </c>
      <c r="E501">
        <f t="shared" si="37"/>
        <v>5928</v>
      </c>
    </row>
    <row r="502" spans="3:5">
      <c r="C502">
        <f t="shared" si="38"/>
        <v>496</v>
      </c>
      <c r="D502">
        <v>1.4</v>
      </c>
      <c r="E502">
        <f t="shared" si="37"/>
        <v>5940</v>
      </c>
    </row>
    <row r="503" spans="3:5">
      <c r="C503">
        <f t="shared" si="38"/>
        <v>497</v>
      </c>
      <c r="D503" s="1">
        <v>1417</v>
      </c>
      <c r="E503">
        <f t="shared" si="37"/>
        <v>5952</v>
      </c>
    </row>
    <row r="504" spans="3:5">
      <c r="C504">
        <f t="shared" si="38"/>
        <v>498</v>
      </c>
      <c r="D504">
        <v>1132</v>
      </c>
      <c r="E504">
        <f t="shared" si="37"/>
        <v>5964</v>
      </c>
    </row>
    <row r="505" spans="3:5">
      <c r="C505">
        <f t="shared" si="38"/>
        <v>499</v>
      </c>
      <c r="D505" s="1">
        <v>0.8</v>
      </c>
      <c r="E505">
        <f t="shared" si="37"/>
        <v>5976</v>
      </c>
    </row>
    <row r="506" spans="3:5">
      <c r="C506">
        <f t="shared" si="38"/>
        <v>500</v>
      </c>
      <c r="D506">
        <v>570</v>
      </c>
      <c r="E506">
        <f t="shared" si="37"/>
        <v>5988</v>
      </c>
    </row>
    <row r="507" spans="3:5">
      <c r="C507">
        <f t="shared" si="38"/>
        <v>501</v>
      </c>
      <c r="D507">
        <v>1516</v>
      </c>
      <c r="E507">
        <f t="shared" si="37"/>
        <v>6000</v>
      </c>
    </row>
    <row r="508" spans="3:5">
      <c r="C508">
        <f t="shared" si="38"/>
        <v>502</v>
      </c>
      <c r="D508">
        <v>1.07</v>
      </c>
      <c r="E508">
        <f t="shared" si="37"/>
        <v>6012</v>
      </c>
    </row>
    <row r="509" spans="3:5">
      <c r="C509">
        <f t="shared" si="38"/>
        <v>503</v>
      </c>
      <c r="D509" s="1">
        <v>763</v>
      </c>
      <c r="E509">
        <f t="shared" si="37"/>
        <v>6024</v>
      </c>
    </row>
    <row r="510" spans="3:5">
      <c r="C510">
        <f t="shared" si="38"/>
        <v>504</v>
      </c>
      <c r="D510" s="1">
        <v>143</v>
      </c>
      <c r="E510">
        <f t="shared" si="37"/>
        <v>6036</v>
      </c>
    </row>
    <row r="511" spans="3:5">
      <c r="C511">
        <f t="shared" si="38"/>
        <v>505</v>
      </c>
      <c r="D511">
        <v>381</v>
      </c>
      <c r="E511">
        <f t="shared" si="37"/>
        <v>6048</v>
      </c>
    </row>
    <row r="512" spans="3:5">
      <c r="C512">
        <f t="shared" si="38"/>
        <v>506</v>
      </c>
      <c r="D512" t="s">
        <v>93</v>
      </c>
      <c r="E512">
        <f t="shared" si="37"/>
        <v>6060</v>
      </c>
    </row>
    <row r="513" spans="3:5">
      <c r="C513">
        <f t="shared" si="38"/>
        <v>507</v>
      </c>
      <c r="D513" s="1">
        <v>15</v>
      </c>
      <c r="E513">
        <f t="shared" si="37"/>
        <v>6072</v>
      </c>
    </row>
    <row r="514" spans="3:5">
      <c r="C514">
        <f t="shared" si="38"/>
        <v>508</v>
      </c>
      <c r="D514">
        <v>2.6</v>
      </c>
      <c r="E514">
        <f t="shared" si="37"/>
        <v>6084</v>
      </c>
    </row>
    <row r="515" spans="3:5">
      <c r="C515">
        <f t="shared" si="38"/>
        <v>509</v>
      </c>
      <c r="D515" s="1">
        <v>3045</v>
      </c>
      <c r="E515">
        <f t="shared" si="37"/>
        <v>6096</v>
      </c>
    </row>
    <row r="516" spans="3:5">
      <c r="C516">
        <f t="shared" si="38"/>
        <v>510</v>
      </c>
      <c r="D516">
        <v>4137</v>
      </c>
      <c r="E516">
        <f t="shared" si="37"/>
        <v>6108</v>
      </c>
    </row>
    <row r="517" spans="3:5">
      <c r="C517">
        <f t="shared" si="38"/>
        <v>511</v>
      </c>
      <c r="D517">
        <v>1.36</v>
      </c>
      <c r="E517">
        <f t="shared" si="37"/>
        <v>6120</v>
      </c>
    </row>
    <row r="518" spans="3:5">
      <c r="C518">
        <f t="shared" si="38"/>
        <v>512</v>
      </c>
      <c r="D518">
        <v>517</v>
      </c>
      <c r="E518">
        <f t="shared" si="37"/>
        <v>6132</v>
      </c>
    </row>
    <row r="519" spans="3:5">
      <c r="C519">
        <f t="shared" si="38"/>
        <v>513</v>
      </c>
      <c r="D519" s="1">
        <v>5891</v>
      </c>
      <c r="E519">
        <f t="shared" si="37"/>
        <v>6144</v>
      </c>
    </row>
    <row r="520" spans="3:5">
      <c r="C520">
        <f t="shared" si="38"/>
        <v>514</v>
      </c>
      <c r="D520" s="1">
        <v>1.93</v>
      </c>
      <c r="E520">
        <f t="shared" si="37"/>
        <v>6156</v>
      </c>
    </row>
    <row r="521" spans="3:5">
      <c r="C521">
        <f t="shared" si="38"/>
        <v>515</v>
      </c>
      <c r="D521">
        <v>736</v>
      </c>
      <c r="E521">
        <f t="shared" ref="E521:E584" si="39">E520+12</f>
        <v>6168</v>
      </c>
    </row>
    <row r="522" spans="3:5">
      <c r="C522">
        <f t="shared" si="38"/>
        <v>516</v>
      </c>
      <c r="D522">
        <v>129</v>
      </c>
      <c r="E522">
        <f t="shared" si="39"/>
        <v>6180</v>
      </c>
    </row>
    <row r="523" spans="3:5">
      <c r="C523">
        <f t="shared" si="38"/>
        <v>517</v>
      </c>
      <c r="D523">
        <v>382</v>
      </c>
      <c r="E523">
        <f t="shared" si="39"/>
        <v>6192</v>
      </c>
    </row>
    <row r="524" spans="3:5">
      <c r="C524">
        <f t="shared" si="38"/>
        <v>518</v>
      </c>
      <c r="D524" t="s">
        <v>93</v>
      </c>
      <c r="E524">
        <f t="shared" si="39"/>
        <v>6204</v>
      </c>
    </row>
    <row r="525" spans="3:5">
      <c r="C525">
        <f t="shared" si="38"/>
        <v>519</v>
      </c>
      <c r="D525" s="1">
        <v>15</v>
      </c>
      <c r="E525">
        <f t="shared" si="39"/>
        <v>6216</v>
      </c>
    </row>
    <row r="526" spans="3:5">
      <c r="C526">
        <f t="shared" si="38"/>
        <v>520</v>
      </c>
      <c r="D526">
        <v>2.7</v>
      </c>
      <c r="E526">
        <f t="shared" si="39"/>
        <v>6228</v>
      </c>
    </row>
    <row r="527" spans="3:5">
      <c r="C527">
        <f t="shared" si="38"/>
        <v>521</v>
      </c>
      <c r="D527">
        <v>3048</v>
      </c>
      <c r="E527">
        <f t="shared" si="39"/>
        <v>6240</v>
      </c>
    </row>
    <row r="528" spans="3:5">
      <c r="C528">
        <f t="shared" si="38"/>
        <v>522</v>
      </c>
      <c r="D528">
        <v>4923</v>
      </c>
      <c r="E528">
        <f t="shared" si="39"/>
        <v>6252</v>
      </c>
    </row>
    <row r="529" spans="3:5">
      <c r="C529">
        <f t="shared" si="38"/>
        <v>523</v>
      </c>
      <c r="D529" s="1">
        <v>1.62</v>
      </c>
      <c r="E529">
        <f t="shared" si="39"/>
        <v>6264</v>
      </c>
    </row>
    <row r="530" spans="3:5">
      <c r="C530">
        <f t="shared" si="38"/>
        <v>524</v>
      </c>
      <c r="D530" s="1">
        <v>600</v>
      </c>
      <c r="E530">
        <f t="shared" si="39"/>
        <v>6276</v>
      </c>
    </row>
    <row r="531" spans="3:5">
      <c r="C531">
        <f t="shared" si="38"/>
        <v>525</v>
      </c>
      <c r="D531">
        <v>7816</v>
      </c>
      <c r="E531">
        <f t="shared" si="39"/>
        <v>6288</v>
      </c>
    </row>
    <row r="532" spans="3:5">
      <c r="C532">
        <f t="shared" si="38"/>
        <v>526</v>
      </c>
      <c r="D532">
        <v>2.56</v>
      </c>
      <c r="E532">
        <f t="shared" si="39"/>
        <v>6300</v>
      </c>
    </row>
    <row r="533" spans="3:5">
      <c r="C533">
        <f t="shared" si="38"/>
        <v>527</v>
      </c>
      <c r="D533">
        <v>953</v>
      </c>
      <c r="E533">
        <f t="shared" si="39"/>
        <v>6312</v>
      </c>
    </row>
    <row r="534" spans="3:5">
      <c r="C534">
        <f t="shared" si="38"/>
        <v>528</v>
      </c>
      <c r="D534">
        <v>171</v>
      </c>
      <c r="E534">
        <f t="shared" si="39"/>
        <v>6324</v>
      </c>
    </row>
    <row r="535" spans="3:5">
      <c r="C535">
        <f t="shared" si="38"/>
        <v>529</v>
      </c>
      <c r="D535" s="1">
        <v>383</v>
      </c>
      <c r="E535">
        <f t="shared" si="39"/>
        <v>6336</v>
      </c>
    </row>
    <row r="536" spans="3:5">
      <c r="C536">
        <f t="shared" si="38"/>
        <v>530</v>
      </c>
      <c r="D536" t="s">
        <v>93</v>
      </c>
      <c r="E536">
        <f t="shared" si="39"/>
        <v>6348</v>
      </c>
    </row>
    <row r="537" spans="3:5">
      <c r="C537">
        <f t="shared" ref="C537:C600" si="40">C536+1</f>
        <v>531</v>
      </c>
      <c r="D537">
        <v>15</v>
      </c>
      <c r="E537">
        <f t="shared" si="39"/>
        <v>6360</v>
      </c>
    </row>
    <row r="538" spans="3:5">
      <c r="C538">
        <f t="shared" si="40"/>
        <v>532</v>
      </c>
      <c r="D538">
        <v>2.7</v>
      </c>
      <c r="E538">
        <f t="shared" si="39"/>
        <v>6372</v>
      </c>
    </row>
    <row r="539" spans="3:5">
      <c r="C539">
        <f t="shared" si="40"/>
        <v>533</v>
      </c>
      <c r="D539" s="1">
        <v>2923</v>
      </c>
      <c r="E539">
        <f t="shared" si="39"/>
        <v>6384</v>
      </c>
    </row>
    <row r="540" spans="3:5">
      <c r="C540">
        <f t="shared" si="40"/>
        <v>534</v>
      </c>
      <c r="D540" s="1">
        <v>4347</v>
      </c>
      <c r="E540">
        <f t="shared" si="39"/>
        <v>6396</v>
      </c>
    </row>
    <row r="541" spans="3:5">
      <c r="C541">
        <f t="shared" si="40"/>
        <v>535</v>
      </c>
      <c r="D541">
        <v>1.49</v>
      </c>
      <c r="E541">
        <f t="shared" si="39"/>
        <v>6408</v>
      </c>
    </row>
    <row r="542" spans="3:5">
      <c r="C542">
        <f t="shared" si="40"/>
        <v>536</v>
      </c>
      <c r="D542">
        <v>555</v>
      </c>
      <c r="E542">
        <f t="shared" si="39"/>
        <v>6420</v>
      </c>
    </row>
    <row r="543" spans="3:5">
      <c r="C543">
        <f t="shared" si="40"/>
        <v>537</v>
      </c>
      <c r="D543">
        <v>4910</v>
      </c>
      <c r="E543">
        <f t="shared" si="39"/>
        <v>6432</v>
      </c>
    </row>
    <row r="544" spans="3:5">
      <c r="C544">
        <f t="shared" si="40"/>
        <v>538</v>
      </c>
      <c r="D544">
        <v>1.68</v>
      </c>
      <c r="E544">
        <f t="shared" si="39"/>
        <v>6444</v>
      </c>
    </row>
    <row r="545" spans="3:5">
      <c r="C545">
        <f t="shared" si="40"/>
        <v>539</v>
      </c>
      <c r="D545">
        <v>626</v>
      </c>
      <c r="E545">
        <f t="shared" si="39"/>
        <v>6456</v>
      </c>
    </row>
    <row r="546" spans="3:5">
      <c r="C546">
        <f t="shared" si="40"/>
        <v>540</v>
      </c>
      <c r="D546">
        <v>112</v>
      </c>
      <c r="E546">
        <f t="shared" si="39"/>
        <v>6468</v>
      </c>
    </row>
    <row r="547" spans="3:5">
      <c r="C547">
        <f t="shared" si="40"/>
        <v>541</v>
      </c>
      <c r="D547">
        <v>384</v>
      </c>
      <c r="E547">
        <f t="shared" si="39"/>
        <v>6480</v>
      </c>
    </row>
    <row r="548" spans="3:5">
      <c r="C548">
        <f t="shared" si="40"/>
        <v>542</v>
      </c>
      <c r="D548" t="s">
        <v>93</v>
      </c>
      <c r="E548">
        <f t="shared" si="39"/>
        <v>6492</v>
      </c>
    </row>
    <row r="549" spans="3:5">
      <c r="C549">
        <f t="shared" si="40"/>
        <v>543</v>
      </c>
      <c r="D549" s="1">
        <v>20</v>
      </c>
      <c r="E549">
        <f t="shared" si="39"/>
        <v>6504</v>
      </c>
    </row>
    <row r="550" spans="3:5">
      <c r="C550">
        <f t="shared" si="40"/>
        <v>544</v>
      </c>
      <c r="D550" s="1">
        <v>2.9</v>
      </c>
      <c r="E550">
        <f t="shared" si="39"/>
        <v>6516</v>
      </c>
    </row>
    <row r="551" spans="3:5">
      <c r="C551">
        <f t="shared" si="40"/>
        <v>545</v>
      </c>
      <c r="D551" s="1">
        <v>2876</v>
      </c>
      <c r="E551">
        <f t="shared" si="39"/>
        <v>6528</v>
      </c>
    </row>
    <row r="552" spans="3:5">
      <c r="C552">
        <f t="shared" si="40"/>
        <v>546</v>
      </c>
      <c r="D552">
        <v>5003</v>
      </c>
      <c r="E552">
        <f t="shared" si="39"/>
        <v>6540</v>
      </c>
    </row>
    <row r="553" spans="3:5">
      <c r="C553">
        <f t="shared" si="40"/>
        <v>547</v>
      </c>
      <c r="D553" s="1">
        <v>1.74</v>
      </c>
      <c r="E553">
        <f t="shared" si="39"/>
        <v>6552</v>
      </c>
    </row>
    <row r="554" spans="3:5">
      <c r="C554">
        <f t="shared" si="40"/>
        <v>548</v>
      </c>
      <c r="D554">
        <v>603</v>
      </c>
      <c r="E554">
        <f t="shared" si="39"/>
        <v>6564</v>
      </c>
    </row>
    <row r="555" spans="3:5">
      <c r="C555">
        <f t="shared" si="40"/>
        <v>549</v>
      </c>
      <c r="D555" s="1">
        <v>6084</v>
      </c>
      <c r="E555">
        <f t="shared" si="39"/>
        <v>6576</v>
      </c>
    </row>
    <row r="556" spans="3:5">
      <c r="C556">
        <f t="shared" si="40"/>
        <v>550</v>
      </c>
      <c r="D556">
        <v>2.12</v>
      </c>
      <c r="E556">
        <f t="shared" si="39"/>
        <v>6588</v>
      </c>
    </row>
    <row r="557" spans="3:5">
      <c r="C557">
        <f t="shared" si="40"/>
        <v>551</v>
      </c>
      <c r="D557">
        <v>734</v>
      </c>
      <c r="E557">
        <f t="shared" si="39"/>
        <v>6600</v>
      </c>
    </row>
    <row r="558" spans="3:5">
      <c r="C558">
        <f t="shared" si="40"/>
        <v>552</v>
      </c>
      <c r="D558">
        <v>106</v>
      </c>
      <c r="E558">
        <f t="shared" si="39"/>
        <v>6612</v>
      </c>
    </row>
    <row r="559" spans="3:5">
      <c r="C559">
        <f t="shared" si="40"/>
        <v>553</v>
      </c>
      <c r="D559" s="1">
        <v>385</v>
      </c>
      <c r="E559">
        <f t="shared" si="39"/>
        <v>6624</v>
      </c>
    </row>
    <row r="560" spans="3:5">
      <c r="C560">
        <f t="shared" si="40"/>
        <v>554</v>
      </c>
      <c r="D560" s="1" t="s">
        <v>93</v>
      </c>
      <c r="E560">
        <f t="shared" si="39"/>
        <v>6636</v>
      </c>
    </row>
    <row r="561" spans="3:5">
      <c r="C561">
        <f t="shared" si="40"/>
        <v>555</v>
      </c>
      <c r="D561" s="1">
        <v>15</v>
      </c>
      <c r="E561">
        <f t="shared" si="39"/>
        <v>6648</v>
      </c>
    </row>
    <row r="562" spans="3:5">
      <c r="C562">
        <f t="shared" si="40"/>
        <v>556</v>
      </c>
      <c r="D562">
        <v>2.7</v>
      </c>
      <c r="E562">
        <f t="shared" si="39"/>
        <v>6660</v>
      </c>
    </row>
    <row r="563" spans="3:5">
      <c r="C563">
        <f t="shared" si="40"/>
        <v>557</v>
      </c>
      <c r="D563" s="1">
        <v>3013</v>
      </c>
      <c r="E563">
        <f t="shared" si="39"/>
        <v>6672</v>
      </c>
    </row>
    <row r="564" spans="3:5">
      <c r="C564">
        <f t="shared" si="40"/>
        <v>558</v>
      </c>
      <c r="D564">
        <v>4691</v>
      </c>
      <c r="E564">
        <f t="shared" si="39"/>
        <v>6684</v>
      </c>
    </row>
    <row r="565" spans="3:5">
      <c r="C565">
        <f t="shared" si="40"/>
        <v>559</v>
      </c>
      <c r="D565" s="1">
        <v>1.56</v>
      </c>
      <c r="E565">
        <f t="shared" si="39"/>
        <v>6696</v>
      </c>
    </row>
    <row r="566" spans="3:5">
      <c r="C566">
        <f t="shared" si="40"/>
        <v>560</v>
      </c>
      <c r="D566">
        <v>572</v>
      </c>
      <c r="E566">
        <f t="shared" si="39"/>
        <v>6708</v>
      </c>
    </row>
    <row r="567" spans="3:5">
      <c r="C567">
        <f t="shared" si="40"/>
        <v>561</v>
      </c>
      <c r="D567">
        <v>6379</v>
      </c>
      <c r="E567">
        <f t="shared" si="39"/>
        <v>6720</v>
      </c>
    </row>
    <row r="568" spans="3:5">
      <c r="C568">
        <f t="shared" si="40"/>
        <v>562</v>
      </c>
      <c r="D568">
        <v>2.12</v>
      </c>
      <c r="E568">
        <f t="shared" si="39"/>
        <v>6732</v>
      </c>
    </row>
    <row r="569" spans="3:5">
      <c r="C569">
        <f t="shared" si="40"/>
        <v>563</v>
      </c>
      <c r="D569" s="1">
        <v>778</v>
      </c>
      <c r="E569">
        <f t="shared" si="39"/>
        <v>6744</v>
      </c>
    </row>
    <row r="570" spans="3:5">
      <c r="C570">
        <f t="shared" si="40"/>
        <v>564</v>
      </c>
      <c r="D570" s="1">
        <v>141</v>
      </c>
      <c r="E570">
        <f t="shared" si="39"/>
        <v>6756</v>
      </c>
    </row>
    <row r="571" spans="3:5">
      <c r="C571">
        <f t="shared" si="40"/>
        <v>565</v>
      </c>
      <c r="D571">
        <v>386</v>
      </c>
      <c r="E571">
        <f t="shared" si="39"/>
        <v>6768</v>
      </c>
    </row>
    <row r="572" spans="3:5">
      <c r="C572">
        <f t="shared" si="40"/>
        <v>566</v>
      </c>
      <c r="D572" t="s">
        <v>93</v>
      </c>
      <c r="E572">
        <f t="shared" si="39"/>
        <v>6780</v>
      </c>
    </row>
    <row r="573" spans="3:5">
      <c r="C573">
        <f t="shared" si="40"/>
        <v>567</v>
      </c>
      <c r="D573">
        <v>15</v>
      </c>
      <c r="E573">
        <f t="shared" si="39"/>
        <v>6792</v>
      </c>
    </row>
    <row r="574" spans="3:5">
      <c r="C574">
        <f t="shared" si="40"/>
        <v>568</v>
      </c>
      <c r="D574">
        <v>2.2000000000000002</v>
      </c>
      <c r="E574">
        <f t="shared" si="39"/>
        <v>6804</v>
      </c>
    </row>
    <row r="575" spans="3:5">
      <c r="C575">
        <f t="shared" si="40"/>
        <v>569</v>
      </c>
      <c r="D575" s="1">
        <v>3051</v>
      </c>
      <c r="E575">
        <f t="shared" si="39"/>
        <v>6816</v>
      </c>
    </row>
    <row r="576" spans="3:5">
      <c r="C576">
        <f t="shared" si="40"/>
        <v>570</v>
      </c>
      <c r="D576">
        <v>4190</v>
      </c>
      <c r="E576">
        <f t="shared" si="39"/>
        <v>6828</v>
      </c>
    </row>
    <row r="577" spans="3:5">
      <c r="C577">
        <f t="shared" si="40"/>
        <v>571</v>
      </c>
      <c r="D577">
        <v>1.37</v>
      </c>
      <c r="E577">
        <f t="shared" si="39"/>
        <v>6840</v>
      </c>
    </row>
    <row r="578" spans="3:5">
      <c r="C578">
        <f t="shared" si="40"/>
        <v>572</v>
      </c>
      <c r="D578">
        <v>615</v>
      </c>
      <c r="E578">
        <f t="shared" si="39"/>
        <v>6852</v>
      </c>
    </row>
    <row r="579" spans="3:5">
      <c r="C579">
        <f t="shared" si="40"/>
        <v>573</v>
      </c>
      <c r="D579" s="1">
        <v>4650</v>
      </c>
      <c r="E579">
        <f t="shared" si="39"/>
        <v>6864</v>
      </c>
    </row>
    <row r="580" spans="3:5">
      <c r="C580">
        <f t="shared" si="40"/>
        <v>574</v>
      </c>
      <c r="D580" s="1">
        <v>1.52</v>
      </c>
      <c r="E580">
        <f t="shared" si="39"/>
        <v>6876</v>
      </c>
    </row>
    <row r="581" spans="3:5">
      <c r="C581">
        <f t="shared" si="40"/>
        <v>575</v>
      </c>
      <c r="D581">
        <v>682</v>
      </c>
      <c r="E581">
        <f t="shared" si="39"/>
        <v>6888</v>
      </c>
    </row>
    <row r="582" spans="3:5">
      <c r="C582">
        <f t="shared" si="40"/>
        <v>576</v>
      </c>
      <c r="D582">
        <v>102</v>
      </c>
      <c r="E582">
        <f t="shared" si="39"/>
        <v>6900</v>
      </c>
    </row>
    <row r="583" spans="3:5">
      <c r="C583">
        <f t="shared" si="40"/>
        <v>577</v>
      </c>
      <c r="D583">
        <v>387</v>
      </c>
      <c r="E583">
        <f t="shared" si="39"/>
        <v>6912</v>
      </c>
    </row>
    <row r="584" spans="3:5">
      <c r="C584">
        <f t="shared" si="40"/>
        <v>578</v>
      </c>
      <c r="D584" t="s">
        <v>93</v>
      </c>
      <c r="E584">
        <f t="shared" si="39"/>
        <v>6924</v>
      </c>
    </row>
    <row r="585" spans="3:5">
      <c r="C585">
        <f t="shared" si="40"/>
        <v>579</v>
      </c>
      <c r="D585" s="1">
        <v>15</v>
      </c>
      <c r="E585">
        <f t="shared" ref="E585:E648" si="41">E584+12</f>
        <v>6936</v>
      </c>
    </row>
    <row r="586" spans="3:5">
      <c r="C586">
        <f t="shared" si="40"/>
        <v>580</v>
      </c>
      <c r="D586">
        <v>2.4</v>
      </c>
      <c r="E586">
        <f t="shared" si="41"/>
        <v>6948</v>
      </c>
    </row>
    <row r="587" spans="3:5">
      <c r="C587">
        <f t="shared" si="40"/>
        <v>581</v>
      </c>
      <c r="D587">
        <v>2990</v>
      </c>
      <c r="E587">
        <f t="shared" si="41"/>
        <v>6960</v>
      </c>
    </row>
    <row r="588" spans="3:5">
      <c r="C588">
        <f t="shared" si="40"/>
        <v>582</v>
      </c>
      <c r="D588">
        <v>3955</v>
      </c>
      <c r="E588">
        <f t="shared" si="41"/>
        <v>6972</v>
      </c>
    </row>
    <row r="589" spans="3:5">
      <c r="C589">
        <f t="shared" si="40"/>
        <v>583</v>
      </c>
      <c r="D589" s="1">
        <v>1.32</v>
      </c>
      <c r="E589">
        <f t="shared" si="41"/>
        <v>6984</v>
      </c>
    </row>
    <row r="590" spans="3:5">
      <c r="C590">
        <f t="shared" si="40"/>
        <v>584</v>
      </c>
      <c r="D590" s="1">
        <v>558</v>
      </c>
      <c r="E590">
        <f t="shared" si="41"/>
        <v>6996</v>
      </c>
    </row>
    <row r="591" spans="3:5">
      <c r="C591">
        <f t="shared" si="40"/>
        <v>585</v>
      </c>
      <c r="D591">
        <v>5544</v>
      </c>
      <c r="E591">
        <f t="shared" si="41"/>
        <v>7008</v>
      </c>
    </row>
    <row r="592" spans="3:5">
      <c r="C592">
        <f t="shared" si="40"/>
        <v>586</v>
      </c>
      <c r="D592">
        <v>1.85</v>
      </c>
      <c r="E592">
        <f t="shared" si="41"/>
        <v>7020</v>
      </c>
    </row>
    <row r="593" spans="3:5">
      <c r="C593">
        <f t="shared" si="40"/>
        <v>587</v>
      </c>
      <c r="D593">
        <v>783</v>
      </c>
      <c r="E593">
        <f t="shared" si="41"/>
        <v>7032</v>
      </c>
    </row>
    <row r="594" spans="3:5">
      <c r="C594">
        <f t="shared" si="40"/>
        <v>588</v>
      </c>
      <c r="D594">
        <v>124</v>
      </c>
      <c r="E594">
        <f t="shared" si="41"/>
        <v>7044</v>
      </c>
    </row>
    <row r="595" spans="3:5">
      <c r="C595">
        <f t="shared" si="40"/>
        <v>589</v>
      </c>
      <c r="D595" s="1">
        <v>388</v>
      </c>
      <c r="E595">
        <f t="shared" si="41"/>
        <v>7056</v>
      </c>
    </row>
    <row r="596" spans="3:5">
      <c r="C596">
        <f t="shared" si="40"/>
        <v>590</v>
      </c>
      <c r="D596" t="s">
        <v>93</v>
      </c>
      <c r="E596">
        <f t="shared" si="41"/>
        <v>7068</v>
      </c>
    </row>
    <row r="597" spans="3:5">
      <c r="C597">
        <f t="shared" si="40"/>
        <v>591</v>
      </c>
      <c r="D597">
        <v>15</v>
      </c>
      <c r="E597">
        <f t="shared" si="41"/>
        <v>7080</v>
      </c>
    </row>
    <row r="598" spans="3:5">
      <c r="C598">
        <f t="shared" si="40"/>
        <v>592</v>
      </c>
      <c r="D598">
        <v>2.4</v>
      </c>
      <c r="E598">
        <f t="shared" si="41"/>
        <v>7092</v>
      </c>
    </row>
    <row r="599" spans="3:5">
      <c r="C599">
        <f t="shared" si="40"/>
        <v>593</v>
      </c>
      <c r="D599" s="1">
        <v>2837</v>
      </c>
      <c r="E599">
        <f t="shared" si="41"/>
        <v>7104</v>
      </c>
    </row>
    <row r="600" spans="3:5">
      <c r="C600">
        <f t="shared" si="40"/>
        <v>594</v>
      </c>
      <c r="D600" s="1">
        <v>4444</v>
      </c>
      <c r="E600">
        <f t="shared" si="41"/>
        <v>7116</v>
      </c>
    </row>
    <row r="601" spans="3:5">
      <c r="C601">
        <f t="shared" ref="C601:C664" si="42">C600+1</f>
        <v>595</v>
      </c>
      <c r="D601">
        <v>1.57</v>
      </c>
      <c r="E601">
        <f t="shared" si="41"/>
        <v>7128</v>
      </c>
    </row>
    <row r="602" spans="3:5">
      <c r="C602">
        <f t="shared" si="42"/>
        <v>596</v>
      </c>
      <c r="D602">
        <v>644</v>
      </c>
      <c r="E602">
        <f t="shared" si="41"/>
        <v>7140</v>
      </c>
    </row>
    <row r="603" spans="3:5">
      <c r="C603">
        <f t="shared" si="42"/>
        <v>597</v>
      </c>
      <c r="D603">
        <v>4621</v>
      </c>
      <c r="E603">
        <f t="shared" si="41"/>
        <v>7152</v>
      </c>
    </row>
    <row r="604" spans="3:5">
      <c r="C604">
        <f t="shared" si="42"/>
        <v>598</v>
      </c>
      <c r="D604">
        <v>1.63</v>
      </c>
      <c r="E604">
        <f t="shared" si="41"/>
        <v>7164</v>
      </c>
    </row>
    <row r="605" spans="3:5">
      <c r="C605">
        <f t="shared" si="42"/>
        <v>599</v>
      </c>
      <c r="D605" s="1">
        <v>669</v>
      </c>
      <c r="E605">
        <f t="shared" si="41"/>
        <v>7176</v>
      </c>
    </row>
    <row r="606" spans="3:5">
      <c r="C606">
        <f t="shared" si="42"/>
        <v>600</v>
      </c>
      <c r="D606">
        <v>109</v>
      </c>
      <c r="E606">
        <f t="shared" si="41"/>
        <v>7188</v>
      </c>
    </row>
    <row r="607" spans="3:5">
      <c r="C607">
        <f t="shared" si="42"/>
        <v>601</v>
      </c>
      <c r="D607">
        <v>389</v>
      </c>
      <c r="E607">
        <f t="shared" si="41"/>
        <v>7200</v>
      </c>
    </row>
    <row r="608" spans="3:5">
      <c r="C608">
        <f t="shared" si="42"/>
        <v>602</v>
      </c>
      <c r="D608" t="s">
        <v>93</v>
      </c>
      <c r="E608">
        <f t="shared" si="41"/>
        <v>7212</v>
      </c>
    </row>
    <row r="609" spans="3:5">
      <c r="C609">
        <f t="shared" si="42"/>
        <v>603</v>
      </c>
      <c r="D609" s="1">
        <v>15</v>
      </c>
      <c r="E609">
        <f t="shared" si="41"/>
        <v>7224</v>
      </c>
    </row>
    <row r="610" spans="3:5">
      <c r="C610">
        <f t="shared" si="42"/>
        <v>604</v>
      </c>
      <c r="D610" s="1">
        <v>2.5</v>
      </c>
      <c r="E610">
        <f t="shared" si="41"/>
        <v>7236</v>
      </c>
    </row>
    <row r="611" spans="3:5">
      <c r="C611">
        <f t="shared" si="42"/>
        <v>605</v>
      </c>
      <c r="D611">
        <v>2844</v>
      </c>
      <c r="E611">
        <f t="shared" si="41"/>
        <v>7248</v>
      </c>
    </row>
    <row r="612" spans="3:5">
      <c r="C612">
        <f t="shared" si="42"/>
        <v>606</v>
      </c>
      <c r="D612">
        <v>3482</v>
      </c>
      <c r="E612">
        <f t="shared" si="41"/>
        <v>7260</v>
      </c>
    </row>
    <row r="613" spans="3:5">
      <c r="C613">
        <f t="shared" si="42"/>
        <v>607</v>
      </c>
      <c r="D613">
        <v>1.22</v>
      </c>
      <c r="E613">
        <f t="shared" si="41"/>
        <v>7272</v>
      </c>
    </row>
    <row r="614" spans="3:5">
      <c r="C614">
        <f t="shared" si="42"/>
        <v>608</v>
      </c>
      <c r="D614">
        <v>491</v>
      </c>
      <c r="E614">
        <f t="shared" si="41"/>
        <v>7284</v>
      </c>
    </row>
    <row r="615" spans="3:5">
      <c r="C615">
        <f t="shared" si="42"/>
        <v>609</v>
      </c>
      <c r="D615" s="1">
        <v>6809</v>
      </c>
      <c r="E615">
        <f t="shared" si="41"/>
        <v>7296</v>
      </c>
    </row>
    <row r="616" spans="3:5">
      <c r="C616">
        <f t="shared" si="42"/>
        <v>610</v>
      </c>
      <c r="D616">
        <v>2.39</v>
      </c>
      <c r="E616">
        <f t="shared" si="41"/>
        <v>7308</v>
      </c>
    </row>
    <row r="617" spans="3:5">
      <c r="C617">
        <f t="shared" si="42"/>
        <v>611</v>
      </c>
      <c r="D617">
        <v>960</v>
      </c>
      <c r="E617">
        <f t="shared" si="41"/>
        <v>7320</v>
      </c>
    </row>
    <row r="618" spans="3:5">
      <c r="C618">
        <f t="shared" si="42"/>
        <v>612</v>
      </c>
      <c r="D618">
        <v>160</v>
      </c>
      <c r="E618">
        <f t="shared" si="41"/>
        <v>7332</v>
      </c>
    </row>
    <row r="619" spans="3:5">
      <c r="C619">
        <f t="shared" si="42"/>
        <v>613</v>
      </c>
      <c r="D619">
        <v>407</v>
      </c>
      <c r="E619">
        <f t="shared" si="41"/>
        <v>7344</v>
      </c>
    </row>
    <row r="620" spans="3:5">
      <c r="C620">
        <f t="shared" si="42"/>
        <v>614</v>
      </c>
      <c r="D620" t="s">
        <v>92</v>
      </c>
      <c r="E620">
        <f t="shared" si="41"/>
        <v>7356</v>
      </c>
    </row>
    <row r="621" spans="3:5">
      <c r="C621">
        <f t="shared" si="42"/>
        <v>615</v>
      </c>
      <c r="D621">
        <v>7.5</v>
      </c>
      <c r="E621">
        <f t="shared" si="41"/>
        <v>7368</v>
      </c>
    </row>
    <row r="622" spans="3:5">
      <c r="C622">
        <f t="shared" si="42"/>
        <v>616</v>
      </c>
      <c r="D622">
        <v>1.4</v>
      </c>
      <c r="E622">
        <f t="shared" si="41"/>
        <v>7380</v>
      </c>
    </row>
    <row r="623" spans="3:5">
      <c r="C623">
        <f t="shared" si="42"/>
        <v>617</v>
      </c>
      <c r="D623">
        <v>1523</v>
      </c>
      <c r="E623">
        <f t="shared" si="41"/>
        <v>7392</v>
      </c>
    </row>
    <row r="624" spans="3:5">
      <c r="C624">
        <f t="shared" si="42"/>
        <v>618</v>
      </c>
      <c r="D624">
        <v>660</v>
      </c>
      <c r="E624">
        <f t="shared" si="41"/>
        <v>7404</v>
      </c>
    </row>
    <row r="625" spans="3:5">
      <c r="C625">
        <f t="shared" si="42"/>
        <v>619</v>
      </c>
      <c r="D625">
        <v>0.43</v>
      </c>
      <c r="E625">
        <f t="shared" si="41"/>
        <v>7416</v>
      </c>
    </row>
    <row r="626" spans="3:5">
      <c r="C626">
        <f t="shared" si="42"/>
        <v>620</v>
      </c>
      <c r="D626">
        <v>313</v>
      </c>
      <c r="E626">
        <f t="shared" si="41"/>
        <v>7428</v>
      </c>
    </row>
    <row r="627" spans="3:5">
      <c r="C627">
        <f t="shared" si="42"/>
        <v>621</v>
      </c>
      <c r="D627">
        <v>1991</v>
      </c>
      <c r="E627">
        <f t="shared" si="41"/>
        <v>7440</v>
      </c>
    </row>
    <row r="628" spans="3:5">
      <c r="C628">
        <f t="shared" si="42"/>
        <v>622</v>
      </c>
      <c r="D628">
        <v>1.31</v>
      </c>
      <c r="E628">
        <f t="shared" si="41"/>
        <v>7452</v>
      </c>
    </row>
    <row r="629" spans="3:5">
      <c r="C629">
        <f t="shared" si="42"/>
        <v>623</v>
      </c>
      <c r="D629">
        <v>945</v>
      </c>
      <c r="E629">
        <f t="shared" si="41"/>
        <v>7464</v>
      </c>
    </row>
    <row r="630" spans="3:5">
      <c r="C630">
        <f t="shared" si="42"/>
        <v>624</v>
      </c>
      <c r="D630">
        <v>174</v>
      </c>
      <c r="E630">
        <f t="shared" si="41"/>
        <v>7476</v>
      </c>
    </row>
    <row r="631" spans="3:5">
      <c r="C631">
        <f t="shared" si="42"/>
        <v>625</v>
      </c>
      <c r="D631">
        <v>408</v>
      </c>
      <c r="E631">
        <f t="shared" si="41"/>
        <v>7488</v>
      </c>
    </row>
    <row r="632" spans="3:5">
      <c r="C632">
        <f t="shared" si="42"/>
        <v>626</v>
      </c>
      <c r="D632" t="s">
        <v>92</v>
      </c>
      <c r="E632">
        <f t="shared" si="41"/>
        <v>7500</v>
      </c>
    </row>
    <row r="633" spans="3:5">
      <c r="C633">
        <f t="shared" si="42"/>
        <v>627</v>
      </c>
      <c r="D633">
        <v>10</v>
      </c>
      <c r="E633">
        <f t="shared" si="41"/>
        <v>7512</v>
      </c>
    </row>
    <row r="634" spans="3:5">
      <c r="C634">
        <f t="shared" si="42"/>
        <v>628</v>
      </c>
      <c r="D634">
        <v>1.9</v>
      </c>
      <c r="E634">
        <f t="shared" si="41"/>
        <v>7524</v>
      </c>
    </row>
    <row r="635" spans="3:5">
      <c r="C635">
        <f t="shared" si="42"/>
        <v>629</v>
      </c>
      <c r="D635">
        <v>3604</v>
      </c>
      <c r="E635">
        <f t="shared" si="41"/>
        <v>7536</v>
      </c>
    </row>
    <row r="636" spans="3:5">
      <c r="C636">
        <f t="shared" si="42"/>
        <v>630</v>
      </c>
      <c r="D636">
        <v>3355</v>
      </c>
      <c r="E636">
        <f t="shared" si="41"/>
        <v>7548</v>
      </c>
    </row>
    <row r="637" spans="3:5">
      <c r="C637">
        <f t="shared" si="42"/>
        <v>631</v>
      </c>
      <c r="D637">
        <v>0.93</v>
      </c>
      <c r="E637">
        <f t="shared" si="41"/>
        <v>7560</v>
      </c>
    </row>
    <row r="638" spans="3:5">
      <c r="C638">
        <f t="shared" si="42"/>
        <v>632</v>
      </c>
      <c r="D638">
        <v>492</v>
      </c>
      <c r="E638">
        <f t="shared" si="41"/>
        <v>7572</v>
      </c>
    </row>
    <row r="639" spans="3:5">
      <c r="C639">
        <f t="shared" si="42"/>
        <v>633</v>
      </c>
      <c r="D639">
        <v>3838</v>
      </c>
      <c r="E639">
        <f t="shared" si="41"/>
        <v>7584</v>
      </c>
    </row>
    <row r="640" spans="3:5">
      <c r="C640">
        <f t="shared" si="42"/>
        <v>634</v>
      </c>
      <c r="D640">
        <v>1.06</v>
      </c>
      <c r="E640">
        <f t="shared" si="41"/>
        <v>7596</v>
      </c>
    </row>
    <row r="641" spans="3:5">
      <c r="C641">
        <f t="shared" si="42"/>
        <v>635</v>
      </c>
      <c r="D641">
        <v>563</v>
      </c>
      <c r="E641">
        <f t="shared" si="41"/>
        <v>7608</v>
      </c>
    </row>
    <row r="642" spans="3:5">
      <c r="C642">
        <f t="shared" si="42"/>
        <v>636</v>
      </c>
      <c r="D642">
        <v>106</v>
      </c>
      <c r="E642">
        <f t="shared" si="41"/>
        <v>7620</v>
      </c>
    </row>
    <row r="643" spans="3:5">
      <c r="C643">
        <f t="shared" si="42"/>
        <v>637</v>
      </c>
      <c r="D643">
        <v>409</v>
      </c>
      <c r="E643">
        <f t="shared" si="41"/>
        <v>7632</v>
      </c>
    </row>
    <row r="644" spans="3:5">
      <c r="C644">
        <f t="shared" si="42"/>
        <v>638</v>
      </c>
      <c r="D644" t="s">
        <v>92</v>
      </c>
      <c r="E644">
        <f t="shared" si="41"/>
        <v>7644</v>
      </c>
    </row>
    <row r="645" spans="3:5">
      <c r="C645">
        <f t="shared" si="42"/>
        <v>639</v>
      </c>
      <c r="D645">
        <v>15</v>
      </c>
      <c r="E645">
        <f t="shared" si="41"/>
        <v>7656</v>
      </c>
    </row>
    <row r="646" spans="3:5">
      <c r="C646">
        <f t="shared" si="42"/>
        <v>640</v>
      </c>
      <c r="D646">
        <v>3.4</v>
      </c>
      <c r="E646">
        <f t="shared" si="41"/>
        <v>7668</v>
      </c>
    </row>
    <row r="647" spans="3:5">
      <c r="C647">
        <f t="shared" si="42"/>
        <v>641</v>
      </c>
      <c r="D647">
        <v>3308</v>
      </c>
      <c r="E647">
        <f t="shared" si="41"/>
        <v>7680</v>
      </c>
    </row>
    <row r="648" spans="3:5">
      <c r="C648">
        <f t="shared" si="42"/>
        <v>642</v>
      </c>
      <c r="D648">
        <v>7000</v>
      </c>
      <c r="E648">
        <f t="shared" si="41"/>
        <v>7692</v>
      </c>
    </row>
    <row r="649" spans="3:5">
      <c r="C649">
        <f t="shared" si="42"/>
        <v>643</v>
      </c>
      <c r="D649">
        <v>2.12</v>
      </c>
      <c r="E649">
        <f t="shared" ref="E649:E712" si="43">E648+12</f>
        <v>7704</v>
      </c>
    </row>
    <row r="650" spans="3:5">
      <c r="C650">
        <f t="shared" si="42"/>
        <v>644</v>
      </c>
      <c r="D650">
        <v>624</v>
      </c>
      <c r="E650">
        <f t="shared" si="43"/>
        <v>7716</v>
      </c>
    </row>
    <row r="651" spans="3:5">
      <c r="C651">
        <f t="shared" si="42"/>
        <v>645</v>
      </c>
      <c r="D651">
        <v>2215</v>
      </c>
      <c r="E651">
        <f t="shared" si="43"/>
        <v>7728</v>
      </c>
    </row>
    <row r="652" spans="3:5">
      <c r="C652">
        <f t="shared" si="42"/>
        <v>646</v>
      </c>
      <c r="D652">
        <v>0.67</v>
      </c>
      <c r="E652">
        <f t="shared" si="43"/>
        <v>7740</v>
      </c>
    </row>
    <row r="653" spans="3:5">
      <c r="C653">
        <f t="shared" si="42"/>
        <v>647</v>
      </c>
      <c r="D653">
        <v>197</v>
      </c>
      <c r="E653">
        <f t="shared" si="43"/>
        <v>7752</v>
      </c>
    </row>
    <row r="654" spans="3:5">
      <c r="C654">
        <f t="shared" si="42"/>
        <v>648</v>
      </c>
      <c r="D654">
        <v>45</v>
      </c>
      <c r="E654">
        <f t="shared" si="43"/>
        <v>7764</v>
      </c>
    </row>
    <row r="655" spans="3:5">
      <c r="C655">
        <f t="shared" si="42"/>
        <v>649</v>
      </c>
      <c r="D655">
        <v>410</v>
      </c>
      <c r="E655">
        <f t="shared" si="43"/>
        <v>7776</v>
      </c>
    </row>
    <row r="656" spans="3:5">
      <c r="C656">
        <f t="shared" si="42"/>
        <v>650</v>
      </c>
      <c r="D656" t="s">
        <v>92</v>
      </c>
      <c r="E656">
        <f t="shared" si="43"/>
        <v>7788</v>
      </c>
    </row>
    <row r="657" spans="3:5">
      <c r="C657">
        <f t="shared" si="42"/>
        <v>651</v>
      </c>
      <c r="D657">
        <v>25</v>
      </c>
      <c r="E657">
        <f t="shared" si="43"/>
        <v>7800</v>
      </c>
    </row>
    <row r="658" spans="3:5">
      <c r="C658">
        <f t="shared" si="42"/>
        <v>652</v>
      </c>
      <c r="D658">
        <v>4</v>
      </c>
      <c r="E658">
        <f t="shared" si="43"/>
        <v>7812</v>
      </c>
    </row>
    <row r="659" spans="3:5">
      <c r="C659">
        <f t="shared" si="42"/>
        <v>653</v>
      </c>
      <c r="D659">
        <v>3624</v>
      </c>
      <c r="E659">
        <f t="shared" si="43"/>
        <v>7824</v>
      </c>
    </row>
    <row r="660" spans="3:5">
      <c r="C660">
        <f t="shared" si="42"/>
        <v>654</v>
      </c>
      <c r="D660">
        <v>5937</v>
      </c>
      <c r="E660">
        <f t="shared" si="43"/>
        <v>7836</v>
      </c>
    </row>
    <row r="661" spans="3:5">
      <c r="C661">
        <f t="shared" si="42"/>
        <v>655</v>
      </c>
      <c r="D661">
        <v>1.64</v>
      </c>
      <c r="E661">
        <f t="shared" si="43"/>
        <v>7848</v>
      </c>
    </row>
    <row r="662" spans="3:5">
      <c r="C662">
        <f t="shared" si="42"/>
        <v>656</v>
      </c>
      <c r="D662">
        <v>410</v>
      </c>
      <c r="E662">
        <f t="shared" si="43"/>
        <v>7860</v>
      </c>
    </row>
    <row r="663" spans="3:5">
      <c r="C663">
        <f t="shared" si="42"/>
        <v>657</v>
      </c>
      <c r="D663">
        <v>11822</v>
      </c>
      <c r="E663">
        <f t="shared" si="43"/>
        <v>7872</v>
      </c>
    </row>
    <row r="664" spans="3:5">
      <c r="C664">
        <f t="shared" si="42"/>
        <v>658</v>
      </c>
      <c r="D664">
        <v>3.26</v>
      </c>
      <c r="E664">
        <f t="shared" si="43"/>
        <v>7884</v>
      </c>
    </row>
    <row r="665" spans="3:5">
      <c r="C665">
        <f t="shared" ref="C665:C728" si="44">C664+1</f>
        <v>659</v>
      </c>
      <c r="D665">
        <v>816</v>
      </c>
      <c r="E665">
        <f t="shared" si="43"/>
        <v>7896</v>
      </c>
    </row>
    <row r="666" spans="3:5">
      <c r="C666">
        <f t="shared" si="44"/>
        <v>660</v>
      </c>
      <c r="D666">
        <v>130</v>
      </c>
      <c r="E666">
        <f t="shared" si="43"/>
        <v>7908</v>
      </c>
    </row>
    <row r="667" spans="3:5">
      <c r="C667">
        <f t="shared" si="44"/>
        <v>661</v>
      </c>
      <c r="D667">
        <v>411</v>
      </c>
      <c r="E667">
        <f t="shared" si="43"/>
        <v>7920</v>
      </c>
    </row>
    <row r="668" spans="3:5">
      <c r="C668">
        <f t="shared" si="44"/>
        <v>662</v>
      </c>
      <c r="D668" t="s">
        <v>92</v>
      </c>
      <c r="E668">
        <f t="shared" si="43"/>
        <v>7932</v>
      </c>
    </row>
    <row r="669" spans="3:5">
      <c r="C669">
        <f t="shared" si="44"/>
        <v>663</v>
      </c>
      <c r="D669">
        <v>25</v>
      </c>
      <c r="E669">
        <f t="shared" si="43"/>
        <v>7944</v>
      </c>
    </row>
    <row r="670" spans="3:5">
      <c r="C670">
        <f t="shared" si="44"/>
        <v>664</v>
      </c>
      <c r="D670">
        <v>5.9</v>
      </c>
      <c r="E670">
        <f t="shared" si="43"/>
        <v>7956</v>
      </c>
    </row>
    <row r="671" spans="3:5">
      <c r="C671">
        <f t="shared" si="44"/>
        <v>665</v>
      </c>
      <c r="D671">
        <v>3309</v>
      </c>
      <c r="E671">
        <f t="shared" si="43"/>
        <v>7968</v>
      </c>
    </row>
    <row r="672" spans="3:5">
      <c r="C672">
        <f t="shared" si="44"/>
        <v>666</v>
      </c>
      <c r="D672">
        <v>6522</v>
      </c>
      <c r="E672">
        <f t="shared" si="43"/>
        <v>7980</v>
      </c>
    </row>
    <row r="673" spans="3:5">
      <c r="C673">
        <f t="shared" si="44"/>
        <v>667</v>
      </c>
      <c r="D673">
        <v>1.97</v>
      </c>
      <c r="E673">
        <f t="shared" si="43"/>
        <v>7992</v>
      </c>
    </row>
    <row r="674" spans="3:5">
      <c r="C674">
        <f t="shared" si="44"/>
        <v>668</v>
      </c>
      <c r="D674">
        <v>333</v>
      </c>
      <c r="E674">
        <f t="shared" si="43"/>
        <v>8004</v>
      </c>
    </row>
    <row r="675" spans="3:5">
      <c r="C675">
        <f t="shared" si="44"/>
        <v>669</v>
      </c>
      <c r="D675">
        <v>10129</v>
      </c>
      <c r="E675">
        <f t="shared" si="43"/>
        <v>8016</v>
      </c>
    </row>
    <row r="676" spans="3:5">
      <c r="C676">
        <f t="shared" si="44"/>
        <v>670</v>
      </c>
      <c r="D676">
        <v>3.06</v>
      </c>
      <c r="E676">
        <f t="shared" si="43"/>
        <v>8028</v>
      </c>
    </row>
    <row r="677" spans="3:5">
      <c r="C677">
        <f t="shared" si="44"/>
        <v>671</v>
      </c>
      <c r="D677">
        <v>517</v>
      </c>
      <c r="E677">
        <f t="shared" si="43"/>
        <v>8040</v>
      </c>
    </row>
    <row r="678" spans="3:5">
      <c r="C678">
        <f t="shared" si="44"/>
        <v>672</v>
      </c>
      <c r="D678">
        <v>122</v>
      </c>
      <c r="E678">
        <f t="shared" si="43"/>
        <v>8052</v>
      </c>
    </row>
    <row r="679" spans="3:5">
      <c r="C679">
        <f t="shared" si="44"/>
        <v>673</v>
      </c>
      <c r="D679">
        <v>423</v>
      </c>
      <c r="E679">
        <f t="shared" si="43"/>
        <v>8064</v>
      </c>
    </row>
    <row r="680" spans="3:5">
      <c r="C680">
        <f t="shared" si="44"/>
        <v>674</v>
      </c>
      <c r="D680" t="s">
        <v>92</v>
      </c>
      <c r="E680">
        <f t="shared" si="43"/>
        <v>8076</v>
      </c>
    </row>
    <row r="681" spans="3:5">
      <c r="C681">
        <f t="shared" si="44"/>
        <v>675</v>
      </c>
      <c r="D681">
        <v>10</v>
      </c>
      <c r="E681">
        <f t="shared" si="43"/>
        <v>8088</v>
      </c>
    </row>
    <row r="682" spans="3:5">
      <c r="C682">
        <f t="shared" si="44"/>
        <v>676</v>
      </c>
      <c r="D682">
        <v>2.6</v>
      </c>
      <c r="E682">
        <f t="shared" si="43"/>
        <v>8100</v>
      </c>
    </row>
    <row r="683" spans="3:5">
      <c r="C683">
        <f t="shared" si="44"/>
        <v>677</v>
      </c>
      <c r="D683">
        <v>1725</v>
      </c>
      <c r="E683">
        <f t="shared" si="43"/>
        <v>8112</v>
      </c>
    </row>
    <row r="684" spans="3:5">
      <c r="C684">
        <f t="shared" si="44"/>
        <v>678</v>
      </c>
      <c r="D684">
        <v>3083</v>
      </c>
      <c r="E684">
        <f t="shared" si="43"/>
        <v>8124</v>
      </c>
    </row>
    <row r="685" spans="3:5">
      <c r="C685">
        <f t="shared" si="44"/>
        <v>679</v>
      </c>
      <c r="D685">
        <v>1.79</v>
      </c>
      <c r="E685">
        <f t="shared" si="43"/>
        <v>8136</v>
      </c>
    </row>
    <row r="686" spans="3:5">
      <c r="C686">
        <f t="shared" si="44"/>
        <v>680</v>
      </c>
      <c r="D686">
        <v>676</v>
      </c>
      <c r="E686">
        <f t="shared" si="43"/>
        <v>8148</v>
      </c>
    </row>
    <row r="687" spans="3:5">
      <c r="C687">
        <f t="shared" si="44"/>
        <v>681</v>
      </c>
      <c r="D687">
        <v>3094</v>
      </c>
      <c r="E687">
        <f t="shared" si="43"/>
        <v>8160</v>
      </c>
    </row>
    <row r="688" spans="3:5">
      <c r="C688">
        <f t="shared" si="44"/>
        <v>682</v>
      </c>
      <c r="D688">
        <v>1.79</v>
      </c>
      <c r="E688">
        <f t="shared" si="43"/>
        <v>8172</v>
      </c>
    </row>
    <row r="689" spans="3:5">
      <c r="C689">
        <f t="shared" si="44"/>
        <v>683</v>
      </c>
      <c r="D689">
        <v>679</v>
      </c>
      <c r="E689">
        <f t="shared" si="43"/>
        <v>8184</v>
      </c>
    </row>
    <row r="690" spans="3:5">
      <c r="C690">
        <f t="shared" si="44"/>
        <v>684</v>
      </c>
      <c r="D690">
        <v>179</v>
      </c>
      <c r="E690">
        <f t="shared" si="43"/>
        <v>8196</v>
      </c>
    </row>
    <row r="691" spans="3:5">
      <c r="C691">
        <f t="shared" si="44"/>
        <v>685</v>
      </c>
      <c r="D691">
        <v>424</v>
      </c>
      <c r="E691">
        <f t="shared" si="43"/>
        <v>8208</v>
      </c>
    </row>
    <row r="692" spans="3:5">
      <c r="C692">
        <f t="shared" si="44"/>
        <v>686</v>
      </c>
      <c r="D692" t="s">
        <v>92</v>
      </c>
      <c r="E692">
        <f t="shared" si="43"/>
        <v>8220</v>
      </c>
    </row>
    <row r="693" spans="3:5">
      <c r="C693">
        <f t="shared" si="44"/>
        <v>687</v>
      </c>
      <c r="D693">
        <v>10</v>
      </c>
      <c r="E693">
        <f t="shared" si="43"/>
        <v>8232</v>
      </c>
    </row>
    <row r="694" spans="3:5">
      <c r="C694">
        <f t="shared" si="44"/>
        <v>688</v>
      </c>
      <c r="D694">
        <v>2.4</v>
      </c>
      <c r="E694">
        <f t="shared" si="43"/>
        <v>8244</v>
      </c>
    </row>
    <row r="695" spans="3:5">
      <c r="C695">
        <f t="shared" si="44"/>
        <v>689</v>
      </c>
      <c r="D695">
        <v>1669</v>
      </c>
      <c r="E695">
        <f t="shared" si="43"/>
        <v>8256</v>
      </c>
    </row>
    <row r="696" spans="3:5">
      <c r="C696">
        <f t="shared" si="44"/>
        <v>690</v>
      </c>
      <c r="D696">
        <v>2218</v>
      </c>
      <c r="E696">
        <f t="shared" si="43"/>
        <v>8268</v>
      </c>
    </row>
    <row r="697" spans="3:5">
      <c r="C697">
        <f t="shared" si="44"/>
        <v>691</v>
      </c>
      <c r="D697">
        <v>1.33</v>
      </c>
      <c r="E697">
        <f t="shared" si="43"/>
        <v>8280</v>
      </c>
    </row>
    <row r="698" spans="3:5">
      <c r="C698">
        <f t="shared" si="44"/>
        <v>692</v>
      </c>
      <c r="D698">
        <v>563</v>
      </c>
      <c r="E698">
        <f t="shared" si="43"/>
        <v>8292</v>
      </c>
    </row>
    <row r="699" spans="3:5">
      <c r="C699">
        <f t="shared" si="44"/>
        <v>693</v>
      </c>
      <c r="D699">
        <v>2899</v>
      </c>
      <c r="E699">
        <f t="shared" si="43"/>
        <v>8304</v>
      </c>
    </row>
    <row r="700" spans="3:5">
      <c r="C700">
        <f t="shared" si="44"/>
        <v>694</v>
      </c>
      <c r="D700">
        <v>1.74</v>
      </c>
      <c r="E700">
        <f t="shared" si="43"/>
        <v>8316</v>
      </c>
    </row>
    <row r="701" spans="3:5">
      <c r="C701">
        <f t="shared" si="44"/>
        <v>695</v>
      </c>
      <c r="D701">
        <v>737</v>
      </c>
      <c r="E701">
        <f t="shared" si="43"/>
        <v>8328</v>
      </c>
    </row>
    <row r="702" spans="3:5">
      <c r="C702">
        <f t="shared" si="44"/>
        <v>696</v>
      </c>
      <c r="D702">
        <v>174</v>
      </c>
      <c r="E702">
        <f t="shared" si="43"/>
        <v>8340</v>
      </c>
    </row>
    <row r="703" spans="3:5">
      <c r="C703">
        <f t="shared" si="44"/>
        <v>697</v>
      </c>
      <c r="D703">
        <v>425</v>
      </c>
      <c r="E703">
        <f t="shared" si="43"/>
        <v>8352</v>
      </c>
    </row>
    <row r="704" spans="3:5">
      <c r="C704">
        <f t="shared" si="44"/>
        <v>698</v>
      </c>
      <c r="D704" t="s">
        <v>92</v>
      </c>
      <c r="E704">
        <f t="shared" si="43"/>
        <v>8364</v>
      </c>
    </row>
    <row r="705" spans="3:5">
      <c r="C705">
        <f t="shared" si="44"/>
        <v>699</v>
      </c>
      <c r="D705">
        <v>10</v>
      </c>
      <c r="E705">
        <f t="shared" si="43"/>
        <v>8376</v>
      </c>
    </row>
    <row r="706" spans="3:5">
      <c r="C706">
        <f t="shared" si="44"/>
        <v>700</v>
      </c>
      <c r="D706">
        <v>3</v>
      </c>
      <c r="E706">
        <f t="shared" si="43"/>
        <v>8388</v>
      </c>
    </row>
    <row r="707" spans="3:5">
      <c r="C707">
        <f t="shared" si="44"/>
        <v>701</v>
      </c>
      <c r="D707">
        <v>1701</v>
      </c>
      <c r="E707">
        <f t="shared" si="43"/>
        <v>8400</v>
      </c>
    </row>
    <row r="708" spans="3:5">
      <c r="C708">
        <f t="shared" si="44"/>
        <v>702</v>
      </c>
      <c r="D708">
        <v>3212</v>
      </c>
      <c r="E708">
        <f t="shared" si="43"/>
        <v>8412</v>
      </c>
    </row>
    <row r="709" spans="3:5">
      <c r="C709">
        <f t="shared" si="44"/>
        <v>703</v>
      </c>
      <c r="D709">
        <v>1.89</v>
      </c>
      <c r="E709">
        <f t="shared" si="43"/>
        <v>8424</v>
      </c>
    </row>
    <row r="710" spans="3:5">
      <c r="C710">
        <f t="shared" si="44"/>
        <v>704</v>
      </c>
      <c r="D710">
        <v>625</v>
      </c>
      <c r="E710">
        <f t="shared" si="43"/>
        <v>8436</v>
      </c>
    </row>
    <row r="711" spans="3:5">
      <c r="C711">
        <f t="shared" si="44"/>
        <v>705</v>
      </c>
      <c r="D711">
        <v>3551</v>
      </c>
      <c r="E711">
        <f t="shared" si="43"/>
        <v>8448</v>
      </c>
    </row>
    <row r="712" spans="3:5">
      <c r="C712">
        <f t="shared" si="44"/>
        <v>706</v>
      </c>
      <c r="D712">
        <v>2.09</v>
      </c>
      <c r="E712">
        <f t="shared" si="43"/>
        <v>8460</v>
      </c>
    </row>
    <row r="713" spans="3:5">
      <c r="C713">
        <f t="shared" si="44"/>
        <v>707</v>
      </c>
      <c r="D713">
        <v>691</v>
      </c>
      <c r="E713">
        <f t="shared" ref="E713:E738" si="45">E712+12</f>
        <v>8472</v>
      </c>
    </row>
    <row r="714" spans="3:5">
      <c r="C714">
        <f t="shared" si="44"/>
        <v>708</v>
      </c>
      <c r="D714">
        <v>209</v>
      </c>
      <c r="E714">
        <f t="shared" si="45"/>
        <v>8484</v>
      </c>
    </row>
    <row r="715" spans="3:5">
      <c r="C715">
        <f t="shared" si="44"/>
        <v>709</v>
      </c>
      <c r="D715">
        <v>426</v>
      </c>
      <c r="E715">
        <f t="shared" si="45"/>
        <v>8496</v>
      </c>
    </row>
    <row r="716" spans="3:5">
      <c r="C716">
        <f t="shared" si="44"/>
        <v>710</v>
      </c>
      <c r="D716" t="s">
        <v>92</v>
      </c>
      <c r="E716">
        <f t="shared" si="45"/>
        <v>8508</v>
      </c>
    </row>
    <row r="717" spans="3:5">
      <c r="C717">
        <f t="shared" si="44"/>
        <v>711</v>
      </c>
      <c r="D717">
        <v>10</v>
      </c>
      <c r="E717">
        <f t="shared" si="45"/>
        <v>8520</v>
      </c>
    </row>
    <row r="718" spans="3:5">
      <c r="C718">
        <f t="shared" si="44"/>
        <v>712</v>
      </c>
      <c r="D718">
        <v>2.7</v>
      </c>
      <c r="E718">
        <f t="shared" si="45"/>
        <v>8532</v>
      </c>
    </row>
    <row r="719" spans="3:5">
      <c r="C719">
        <f t="shared" si="44"/>
        <v>713</v>
      </c>
      <c r="D719">
        <v>1708</v>
      </c>
      <c r="E719">
        <f t="shared" si="45"/>
        <v>8544</v>
      </c>
    </row>
    <row r="720" spans="3:5">
      <c r="C720">
        <f t="shared" si="44"/>
        <v>714</v>
      </c>
      <c r="D720">
        <v>2936</v>
      </c>
      <c r="E720">
        <f t="shared" si="45"/>
        <v>8556</v>
      </c>
    </row>
    <row r="721" spans="3:5">
      <c r="C721">
        <f t="shared" si="44"/>
        <v>715</v>
      </c>
      <c r="D721">
        <v>1.72</v>
      </c>
      <c r="E721">
        <f t="shared" si="45"/>
        <v>8568</v>
      </c>
    </row>
    <row r="722" spans="3:5">
      <c r="C722">
        <f t="shared" si="44"/>
        <v>716</v>
      </c>
      <c r="D722">
        <v>629</v>
      </c>
      <c r="E722">
        <f t="shared" si="45"/>
        <v>8580</v>
      </c>
    </row>
    <row r="723" spans="3:5">
      <c r="C723">
        <f t="shared" si="44"/>
        <v>717</v>
      </c>
      <c r="D723">
        <v>3052</v>
      </c>
      <c r="E723">
        <f t="shared" si="45"/>
        <v>8592</v>
      </c>
    </row>
    <row r="724" spans="3:5">
      <c r="C724">
        <f t="shared" si="44"/>
        <v>718</v>
      </c>
      <c r="D724">
        <v>1.79</v>
      </c>
      <c r="E724">
        <f t="shared" si="45"/>
        <v>8604</v>
      </c>
    </row>
    <row r="725" spans="3:5">
      <c r="C725">
        <f t="shared" si="44"/>
        <v>719</v>
      </c>
      <c r="D725">
        <v>654</v>
      </c>
      <c r="E725">
        <f t="shared" si="45"/>
        <v>8616</v>
      </c>
    </row>
    <row r="726" spans="3:5">
      <c r="C726">
        <f t="shared" si="44"/>
        <v>720</v>
      </c>
      <c r="D726">
        <v>179</v>
      </c>
      <c r="E726">
        <f t="shared" si="45"/>
        <v>8628</v>
      </c>
    </row>
    <row r="727" spans="3:5">
      <c r="C727">
        <f t="shared" si="44"/>
        <v>721</v>
      </c>
      <c r="D727">
        <v>427</v>
      </c>
      <c r="E727">
        <f t="shared" si="45"/>
        <v>8640</v>
      </c>
    </row>
    <row r="728" spans="3:5">
      <c r="C728">
        <f t="shared" si="44"/>
        <v>722</v>
      </c>
      <c r="D728" t="s">
        <v>92</v>
      </c>
      <c r="E728">
        <f t="shared" si="45"/>
        <v>8652</v>
      </c>
    </row>
    <row r="729" spans="3:5">
      <c r="C729">
        <f t="shared" ref="C729:C738" si="46">C728+1</f>
        <v>723</v>
      </c>
      <c r="D729">
        <v>10</v>
      </c>
      <c r="E729">
        <f t="shared" si="45"/>
        <v>8664</v>
      </c>
    </row>
    <row r="730" spans="3:5">
      <c r="C730">
        <f t="shared" si="46"/>
        <v>724</v>
      </c>
      <c r="D730">
        <v>3</v>
      </c>
      <c r="E730">
        <f t="shared" si="45"/>
        <v>8676</v>
      </c>
    </row>
    <row r="731" spans="3:5">
      <c r="C731">
        <f t="shared" si="46"/>
        <v>725</v>
      </c>
      <c r="D731">
        <v>1708</v>
      </c>
      <c r="E731">
        <f t="shared" si="45"/>
        <v>8688</v>
      </c>
    </row>
    <row r="732" spans="3:5">
      <c r="C732">
        <f t="shared" si="46"/>
        <v>726</v>
      </c>
      <c r="D732">
        <v>3405</v>
      </c>
      <c r="E732">
        <f t="shared" si="45"/>
        <v>8700</v>
      </c>
    </row>
    <row r="733" spans="3:5">
      <c r="C733">
        <f t="shared" si="46"/>
        <v>727</v>
      </c>
      <c r="D733">
        <v>1.99</v>
      </c>
      <c r="E733">
        <f t="shared" si="45"/>
        <v>8712</v>
      </c>
    </row>
    <row r="734" spans="3:5">
      <c r="C734">
        <f t="shared" si="46"/>
        <v>728</v>
      </c>
      <c r="D734">
        <v>656</v>
      </c>
      <c r="E734">
        <f t="shared" si="45"/>
        <v>8724</v>
      </c>
    </row>
    <row r="735" spans="3:5">
      <c r="C735">
        <f t="shared" si="46"/>
        <v>729</v>
      </c>
      <c r="D735">
        <v>3925</v>
      </c>
      <c r="E735">
        <f t="shared" si="45"/>
        <v>8736</v>
      </c>
    </row>
    <row r="736" spans="3:5">
      <c r="C736">
        <f t="shared" si="46"/>
        <v>730</v>
      </c>
      <c r="D736">
        <v>2.2999999999999998</v>
      </c>
      <c r="E736">
        <f t="shared" si="45"/>
        <v>8748</v>
      </c>
    </row>
    <row r="737" spans="3:5">
      <c r="C737">
        <f t="shared" si="46"/>
        <v>731</v>
      </c>
      <c r="D737">
        <v>756</v>
      </c>
      <c r="E737">
        <f t="shared" si="45"/>
        <v>8760</v>
      </c>
    </row>
    <row r="738" spans="3:5">
      <c r="C738">
        <f t="shared" si="46"/>
        <v>732</v>
      </c>
      <c r="D738">
        <v>230</v>
      </c>
      <c r="E738">
        <f t="shared" si="45"/>
        <v>8772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sheetPr codeName="Sheet12"/>
  <dimension ref="A2:U827"/>
  <sheetViews>
    <sheetView topLeftCell="D1" workbookViewId="0">
      <selection activeCell="Z1" sqref="Z1:Z1048576"/>
    </sheetView>
  </sheetViews>
  <sheetFormatPr defaultRowHeight="12.75"/>
  <cols>
    <col min="7" max="7" width="6.42578125" customWidth="1"/>
    <col min="8" max="8" width="6.7109375" customWidth="1"/>
    <col min="9" max="9" width="8.42578125" customWidth="1"/>
    <col min="13" max="13" width="13" customWidth="1"/>
    <col min="14" max="14" width="15.7109375" customWidth="1"/>
    <col min="15" max="15" width="13.140625" customWidth="1"/>
    <col min="16" max="16" width="15" customWidth="1"/>
    <col min="17" max="18" width="14.5703125" customWidth="1"/>
    <col min="20" max="20" width="9.140625" style="26"/>
  </cols>
  <sheetData>
    <row r="2" spans="1:20">
      <c r="C2" t="s">
        <v>98</v>
      </c>
    </row>
    <row r="4" spans="1:20">
      <c r="C4" t="s">
        <v>94</v>
      </c>
    </row>
    <row r="5" spans="1:20" ht="63.75">
      <c r="A5" s="416" t="s">
        <v>102</v>
      </c>
      <c r="B5" s="416"/>
      <c r="C5" s="416"/>
      <c r="D5" s="416"/>
      <c r="E5" s="416"/>
      <c r="F5" s="33" t="s">
        <v>0</v>
      </c>
      <c r="G5" s="33" t="s">
        <v>81</v>
      </c>
      <c r="H5" s="33" t="s">
        <v>82</v>
      </c>
      <c r="I5" s="33" t="s">
        <v>83</v>
      </c>
      <c r="J5" s="33" t="s">
        <v>96</v>
      </c>
      <c r="K5" s="33" t="s">
        <v>85</v>
      </c>
      <c r="L5" s="33" t="s">
        <v>86</v>
      </c>
      <c r="M5" s="33" t="s">
        <v>87</v>
      </c>
      <c r="N5" s="33" t="s">
        <v>88</v>
      </c>
      <c r="O5" s="33" t="s">
        <v>89</v>
      </c>
      <c r="P5" s="33" t="s">
        <v>97</v>
      </c>
      <c r="Q5" s="33" t="s">
        <v>90</v>
      </c>
      <c r="R5" s="33" t="s">
        <v>91</v>
      </c>
      <c r="T5" s="31" t="s">
        <v>99</v>
      </c>
    </row>
    <row r="6" spans="1:20">
      <c r="A6" s="34"/>
      <c r="B6" s="34"/>
      <c r="C6" s="34"/>
      <c r="D6" s="34"/>
      <c r="E6" s="34"/>
      <c r="F6">
        <v>1</v>
      </c>
      <c r="G6">
        <f>F6+1</f>
        <v>2</v>
      </c>
      <c r="H6">
        <f t="shared" ref="H6:N6" si="0">G6+1</f>
        <v>3</v>
      </c>
      <c r="I6">
        <f t="shared" si="0"/>
        <v>4</v>
      </c>
      <c r="J6">
        <f t="shared" si="0"/>
        <v>5</v>
      </c>
      <c r="K6">
        <f t="shared" si="0"/>
        <v>6</v>
      </c>
      <c r="L6">
        <f t="shared" si="0"/>
        <v>7</v>
      </c>
      <c r="M6">
        <f t="shared" si="0"/>
        <v>8</v>
      </c>
      <c r="N6">
        <f t="shared" si="0"/>
        <v>9</v>
      </c>
      <c r="O6">
        <f>N6+1</f>
        <v>10</v>
      </c>
      <c r="P6">
        <f t="shared" ref="P6:Q6" si="1">O6+1</f>
        <v>11</v>
      </c>
      <c r="Q6">
        <f t="shared" si="1"/>
        <v>12</v>
      </c>
      <c r="R6">
        <f t="shared" ref="R6" si="2">Q6+1</f>
        <v>13</v>
      </c>
    </row>
    <row r="7" spans="1:20">
      <c r="A7" s="34">
        <v>1</v>
      </c>
      <c r="B7" s="34">
        <v>1</v>
      </c>
      <c r="C7" s="34">
        <v>1</v>
      </c>
      <c r="D7" s="34">
        <v>202</v>
      </c>
      <c r="E7" s="34">
        <v>0</v>
      </c>
      <c r="F7">
        <f>VLOOKUP(F$6,$C$7:$D$16,2,FALSE)</f>
        <v>202</v>
      </c>
      <c r="G7" t="str">
        <f t="shared" ref="G7:H7" si="3">VLOOKUP(G$6,$C$7:$D$16,2,FALSE)</f>
        <v>AC</v>
      </c>
      <c r="H7">
        <f t="shared" si="3"/>
        <v>10</v>
      </c>
      <c r="I7">
        <f t="shared" ref="G7:R22" si="4">VLOOKUP(($E7+I$6),$C$7:$D$1000,2,FALSE)</f>
        <v>3.7</v>
      </c>
      <c r="J7">
        <f t="shared" si="4"/>
        <v>4992</v>
      </c>
      <c r="K7">
        <f t="shared" si="4"/>
        <v>12327</v>
      </c>
      <c r="L7">
        <f t="shared" si="4"/>
        <v>2.4700000000000002</v>
      </c>
      <c r="M7">
        <f t="shared" si="4"/>
        <v>669</v>
      </c>
      <c r="N7">
        <f t="shared" si="4"/>
        <v>12327</v>
      </c>
      <c r="O7">
        <f t="shared" si="4"/>
        <v>2.4700000000000002</v>
      </c>
      <c r="P7">
        <f t="shared" si="4"/>
        <v>1233</v>
      </c>
      <c r="Q7">
        <f t="shared" si="4"/>
        <v>669</v>
      </c>
      <c r="R7">
        <f t="shared" si="4"/>
        <v>247</v>
      </c>
      <c r="T7" s="30">
        <f>K7/N7</f>
        <v>1</v>
      </c>
    </row>
    <row r="8" spans="1:20">
      <c r="A8" s="34">
        <v>1</v>
      </c>
      <c r="B8" s="34">
        <f>B7+1</f>
        <v>2</v>
      </c>
      <c r="C8" s="34">
        <f>C7+1</f>
        <v>2</v>
      </c>
      <c r="D8" s="34" t="s">
        <v>92</v>
      </c>
      <c r="E8" s="34">
        <f>E7+13</f>
        <v>13</v>
      </c>
      <c r="F8">
        <f>VLOOKUP($E8+F$6,$C$7:$D$26,2,FALSE)</f>
        <v>203</v>
      </c>
      <c r="G8" t="str">
        <f t="shared" ref="G8:H8" si="5">VLOOKUP($E8+G$6,$C$7:$D$26,2,FALSE)</f>
        <v>AC</v>
      </c>
      <c r="H8">
        <f t="shared" si="5"/>
        <v>10</v>
      </c>
      <c r="I8">
        <f t="shared" si="4"/>
        <v>2.2999999999999998</v>
      </c>
      <c r="J8">
        <f t="shared" si="4"/>
        <v>4992</v>
      </c>
      <c r="K8">
        <f t="shared" si="4"/>
        <v>7003</v>
      </c>
      <c r="L8">
        <f t="shared" si="4"/>
        <v>1.4</v>
      </c>
      <c r="M8">
        <f t="shared" si="4"/>
        <v>615</v>
      </c>
      <c r="N8">
        <f t="shared" si="4"/>
        <v>6913</v>
      </c>
      <c r="O8">
        <f t="shared" si="4"/>
        <v>1.38</v>
      </c>
      <c r="P8">
        <f t="shared" si="4"/>
        <v>691</v>
      </c>
      <c r="Q8">
        <f t="shared" si="4"/>
        <v>607</v>
      </c>
      <c r="R8">
        <f t="shared" si="4"/>
        <v>138</v>
      </c>
      <c r="T8" s="30">
        <f t="shared" ref="T8:T67" si="6">K8/N8</f>
        <v>1.0130189498047157</v>
      </c>
    </row>
    <row r="9" spans="1:20">
      <c r="A9" s="34">
        <v>1</v>
      </c>
      <c r="B9" s="34">
        <f t="shared" ref="B9:C24" si="7">B8+1</f>
        <v>3</v>
      </c>
      <c r="C9" s="34">
        <f t="shared" si="7"/>
        <v>3</v>
      </c>
      <c r="D9" s="34">
        <v>10</v>
      </c>
      <c r="E9" s="34">
        <f t="shared" ref="E9:E72" si="8">E8+13</f>
        <v>26</v>
      </c>
      <c r="F9">
        <f>VLOOKUP(($E9+F$6),$C$7:$D$96,2,FALSE)</f>
        <v>204</v>
      </c>
      <c r="G9" t="str">
        <f t="shared" ref="G9:H10" si="9">VLOOKUP(($E9+G$6),$C$7:$D$96,2,FALSE)</f>
        <v>AC</v>
      </c>
      <c r="H9">
        <f t="shared" si="9"/>
        <v>10</v>
      </c>
      <c r="I9">
        <f t="shared" si="4"/>
        <v>3.1</v>
      </c>
      <c r="J9">
        <f t="shared" si="4"/>
        <v>5460</v>
      </c>
      <c r="K9">
        <f t="shared" si="4"/>
        <v>10925</v>
      </c>
      <c r="L9">
        <f t="shared" si="4"/>
        <v>2</v>
      </c>
      <c r="M9">
        <f t="shared" si="4"/>
        <v>655</v>
      </c>
      <c r="N9">
        <f t="shared" si="4"/>
        <v>10889</v>
      </c>
      <c r="O9">
        <f t="shared" si="4"/>
        <v>1.99</v>
      </c>
      <c r="P9">
        <f t="shared" si="4"/>
        <v>1089</v>
      </c>
      <c r="Q9">
        <f t="shared" si="4"/>
        <v>653</v>
      </c>
      <c r="R9">
        <f t="shared" si="4"/>
        <v>199</v>
      </c>
      <c r="T9" s="30">
        <f t="shared" si="6"/>
        <v>1.0033060887133805</v>
      </c>
    </row>
    <row r="10" spans="1:20">
      <c r="A10" s="34">
        <v>1</v>
      </c>
      <c r="B10" s="34">
        <f t="shared" si="7"/>
        <v>4</v>
      </c>
      <c r="C10" s="34">
        <f t="shared" si="7"/>
        <v>4</v>
      </c>
      <c r="D10" s="34">
        <v>3.7</v>
      </c>
      <c r="E10" s="34">
        <f t="shared" si="8"/>
        <v>39</v>
      </c>
      <c r="F10">
        <f t="shared" ref="F10" si="10">VLOOKUP(($E10+F$6),$C$7:$D$96,2,FALSE)</f>
        <v>205</v>
      </c>
      <c r="G10" t="str">
        <f t="shared" si="9"/>
        <v>AC</v>
      </c>
      <c r="H10">
        <f t="shared" si="9"/>
        <v>15</v>
      </c>
      <c r="I10">
        <f t="shared" si="4"/>
        <v>2.4</v>
      </c>
      <c r="J10">
        <f t="shared" si="4"/>
        <v>5460</v>
      </c>
      <c r="K10">
        <f t="shared" si="4"/>
        <v>8764</v>
      </c>
      <c r="L10">
        <f t="shared" si="4"/>
        <v>1.61</v>
      </c>
      <c r="M10">
        <f t="shared" si="4"/>
        <v>681</v>
      </c>
      <c r="N10">
        <f t="shared" si="4"/>
        <v>8611</v>
      </c>
      <c r="O10">
        <f t="shared" si="4"/>
        <v>1.58</v>
      </c>
      <c r="P10">
        <f t="shared" si="4"/>
        <v>574</v>
      </c>
      <c r="Q10">
        <f t="shared" si="4"/>
        <v>669</v>
      </c>
      <c r="R10">
        <f t="shared" si="4"/>
        <v>105</v>
      </c>
      <c r="T10" s="30">
        <f t="shared" si="6"/>
        <v>1.0177679711996284</v>
      </c>
    </row>
    <row r="11" spans="1:20">
      <c r="A11" s="34">
        <v>1</v>
      </c>
      <c r="B11" s="34">
        <f t="shared" si="7"/>
        <v>5</v>
      </c>
      <c r="C11" s="34">
        <f t="shared" si="7"/>
        <v>5</v>
      </c>
      <c r="D11" s="34">
        <v>4992</v>
      </c>
      <c r="E11" s="34">
        <f t="shared" si="8"/>
        <v>52</v>
      </c>
      <c r="F11">
        <f>VLOOKUP(($E11+F$6),$C$7:$D$1000,2,FALSE)</f>
        <v>206</v>
      </c>
      <c r="G11" t="str">
        <f t="shared" si="4"/>
        <v>AC</v>
      </c>
      <c r="H11">
        <f t="shared" si="4"/>
        <v>10</v>
      </c>
      <c r="I11">
        <f t="shared" si="4"/>
        <v>2.8</v>
      </c>
      <c r="J11">
        <f t="shared" si="4"/>
        <v>5460</v>
      </c>
      <c r="K11">
        <f t="shared" si="4"/>
        <v>10014</v>
      </c>
      <c r="L11">
        <f t="shared" si="4"/>
        <v>1.83</v>
      </c>
      <c r="M11">
        <f t="shared" si="4"/>
        <v>648</v>
      </c>
      <c r="N11">
        <f t="shared" si="4"/>
        <v>10014</v>
      </c>
      <c r="O11">
        <f t="shared" si="4"/>
        <v>1.83</v>
      </c>
      <c r="P11">
        <f t="shared" si="4"/>
        <v>1001</v>
      </c>
      <c r="Q11">
        <f t="shared" si="4"/>
        <v>648</v>
      </c>
      <c r="R11">
        <f t="shared" si="4"/>
        <v>183</v>
      </c>
      <c r="T11" s="30">
        <f t="shared" si="6"/>
        <v>1</v>
      </c>
    </row>
    <row r="12" spans="1:20">
      <c r="A12" s="34">
        <v>1</v>
      </c>
      <c r="B12" s="34">
        <f t="shared" si="7"/>
        <v>6</v>
      </c>
      <c r="C12" s="34">
        <f t="shared" si="7"/>
        <v>6</v>
      </c>
      <c r="D12" s="34">
        <v>12327</v>
      </c>
      <c r="E12" s="34">
        <f t="shared" si="8"/>
        <v>65</v>
      </c>
      <c r="F12">
        <f t="shared" ref="F12:Q43" si="11">VLOOKUP(($E12+F$6),$C$7:$D$1000,2,FALSE)</f>
        <v>207</v>
      </c>
      <c r="G12" t="str">
        <f t="shared" si="4"/>
        <v>AC</v>
      </c>
      <c r="H12">
        <f t="shared" si="4"/>
        <v>25</v>
      </c>
      <c r="I12">
        <f t="shared" si="4"/>
        <v>8.9</v>
      </c>
      <c r="J12">
        <f t="shared" si="4"/>
        <v>5460</v>
      </c>
      <c r="K12">
        <f t="shared" si="4"/>
        <v>30755</v>
      </c>
      <c r="L12">
        <f t="shared" si="4"/>
        <v>5.63</v>
      </c>
      <c r="M12">
        <f t="shared" si="4"/>
        <v>635</v>
      </c>
      <c r="N12">
        <f t="shared" si="4"/>
        <v>36876</v>
      </c>
      <c r="O12">
        <f t="shared" si="4"/>
        <v>6.75</v>
      </c>
      <c r="P12">
        <f t="shared" si="4"/>
        <v>1475</v>
      </c>
      <c r="Q12">
        <f t="shared" si="4"/>
        <v>762</v>
      </c>
      <c r="R12">
        <f t="shared" si="4"/>
        <v>270</v>
      </c>
      <c r="T12" s="30">
        <f t="shared" si="6"/>
        <v>0.83401128105000544</v>
      </c>
    </row>
    <row r="13" spans="1:20">
      <c r="A13" s="34">
        <v>1</v>
      </c>
      <c r="B13" s="34">
        <f t="shared" si="7"/>
        <v>7</v>
      </c>
      <c r="C13" s="34">
        <f t="shared" si="7"/>
        <v>7</v>
      </c>
      <c r="D13" s="34">
        <v>2.4700000000000002</v>
      </c>
      <c r="E13" s="34">
        <f t="shared" si="8"/>
        <v>78</v>
      </c>
      <c r="F13">
        <f t="shared" si="11"/>
        <v>209</v>
      </c>
      <c r="G13" t="str">
        <f t="shared" si="4"/>
        <v>AC</v>
      </c>
      <c r="H13">
        <f t="shared" si="4"/>
        <v>5</v>
      </c>
      <c r="I13">
        <f t="shared" si="4"/>
        <v>0.9</v>
      </c>
      <c r="J13">
        <f t="shared" si="4"/>
        <v>5460</v>
      </c>
      <c r="K13">
        <f t="shared" si="4"/>
        <v>2006</v>
      </c>
      <c r="L13">
        <f t="shared" si="4"/>
        <v>0.37</v>
      </c>
      <c r="M13">
        <f t="shared" si="4"/>
        <v>393</v>
      </c>
      <c r="N13">
        <f t="shared" si="4"/>
        <v>4957</v>
      </c>
      <c r="O13">
        <f t="shared" si="4"/>
        <v>0.91</v>
      </c>
      <c r="P13">
        <f t="shared" si="4"/>
        <v>991</v>
      </c>
      <c r="Q13">
        <f t="shared" si="4"/>
        <v>972</v>
      </c>
      <c r="R13">
        <f t="shared" si="4"/>
        <v>182</v>
      </c>
      <c r="T13" s="30">
        <f t="shared" si="6"/>
        <v>0.40468025015130121</v>
      </c>
    </row>
    <row r="14" spans="1:20">
      <c r="A14" s="34">
        <v>1</v>
      </c>
      <c r="B14" s="34">
        <f t="shared" si="7"/>
        <v>8</v>
      </c>
      <c r="C14" s="34">
        <f t="shared" si="7"/>
        <v>8</v>
      </c>
      <c r="D14" s="34">
        <v>669</v>
      </c>
      <c r="E14" s="34">
        <f t="shared" si="8"/>
        <v>91</v>
      </c>
      <c r="F14">
        <f t="shared" si="11"/>
        <v>210</v>
      </c>
      <c r="G14" t="str">
        <f t="shared" si="4"/>
        <v>AC</v>
      </c>
      <c r="H14">
        <f t="shared" si="4"/>
        <v>25</v>
      </c>
      <c r="I14">
        <f t="shared" si="4"/>
        <v>11.3</v>
      </c>
      <c r="J14">
        <f t="shared" si="4"/>
        <v>5460</v>
      </c>
      <c r="K14">
        <f t="shared" si="4"/>
        <v>40260</v>
      </c>
      <c r="L14">
        <f t="shared" si="4"/>
        <v>7.37</v>
      </c>
      <c r="M14">
        <f t="shared" si="4"/>
        <v>654</v>
      </c>
      <c r="N14">
        <f t="shared" si="4"/>
        <v>37919</v>
      </c>
      <c r="O14">
        <f t="shared" si="4"/>
        <v>6.94</v>
      </c>
      <c r="P14">
        <f t="shared" si="4"/>
        <v>1517</v>
      </c>
      <c r="Q14">
        <f t="shared" si="4"/>
        <v>616</v>
      </c>
      <c r="R14">
        <f t="shared" si="4"/>
        <v>278</v>
      </c>
      <c r="T14" s="30">
        <f t="shared" si="6"/>
        <v>1.0617368601492656</v>
      </c>
    </row>
    <row r="15" spans="1:20">
      <c r="A15" s="34">
        <v>1</v>
      </c>
      <c r="B15" s="34">
        <f t="shared" si="7"/>
        <v>9</v>
      </c>
      <c r="C15" s="34">
        <f t="shared" si="7"/>
        <v>9</v>
      </c>
      <c r="D15" s="34">
        <v>12327</v>
      </c>
      <c r="E15" s="34">
        <f t="shared" si="8"/>
        <v>104</v>
      </c>
      <c r="F15">
        <f t="shared" si="11"/>
        <v>212</v>
      </c>
      <c r="G15" t="str">
        <f t="shared" si="4"/>
        <v>AC</v>
      </c>
      <c r="H15">
        <f t="shared" si="4"/>
        <v>25</v>
      </c>
      <c r="I15">
        <f t="shared" si="4"/>
        <v>9.4</v>
      </c>
      <c r="J15">
        <f t="shared" si="4"/>
        <v>5096</v>
      </c>
      <c r="K15">
        <f t="shared" si="4"/>
        <v>26192</v>
      </c>
      <c r="L15">
        <f t="shared" si="4"/>
        <v>5.14</v>
      </c>
      <c r="M15">
        <f t="shared" si="4"/>
        <v>545</v>
      </c>
      <c r="N15">
        <f t="shared" si="4"/>
        <v>36750</v>
      </c>
      <c r="O15">
        <f t="shared" si="4"/>
        <v>7.21</v>
      </c>
      <c r="P15">
        <f t="shared" si="4"/>
        <v>1470</v>
      </c>
      <c r="Q15">
        <f t="shared" si="4"/>
        <v>764</v>
      </c>
      <c r="R15">
        <f t="shared" si="4"/>
        <v>288</v>
      </c>
      <c r="T15" s="30">
        <f t="shared" si="6"/>
        <v>0.71270748299319731</v>
      </c>
    </row>
    <row r="16" spans="1:20">
      <c r="A16" s="34">
        <v>1</v>
      </c>
      <c r="B16" s="34">
        <f t="shared" si="7"/>
        <v>10</v>
      </c>
      <c r="C16" s="34">
        <f t="shared" si="7"/>
        <v>10</v>
      </c>
      <c r="D16" s="34">
        <v>2.4700000000000002</v>
      </c>
      <c r="E16" s="34">
        <f t="shared" si="8"/>
        <v>117</v>
      </c>
      <c r="F16">
        <f t="shared" si="11"/>
        <v>213</v>
      </c>
      <c r="G16" t="str">
        <f t="shared" si="4"/>
        <v>AC</v>
      </c>
      <c r="H16">
        <f t="shared" si="4"/>
        <v>15</v>
      </c>
      <c r="I16">
        <f t="shared" si="4"/>
        <v>3.8</v>
      </c>
      <c r="J16">
        <f t="shared" si="4"/>
        <v>5096</v>
      </c>
      <c r="K16">
        <f t="shared" si="4"/>
        <v>13401</v>
      </c>
      <c r="L16">
        <f t="shared" si="4"/>
        <v>2.63</v>
      </c>
      <c r="M16">
        <f t="shared" si="4"/>
        <v>691</v>
      </c>
      <c r="N16">
        <f t="shared" si="4"/>
        <v>13720</v>
      </c>
      <c r="O16">
        <f t="shared" si="4"/>
        <v>2.69</v>
      </c>
      <c r="P16">
        <f t="shared" si="4"/>
        <v>915</v>
      </c>
      <c r="Q16">
        <f t="shared" si="4"/>
        <v>708</v>
      </c>
      <c r="R16">
        <f t="shared" si="4"/>
        <v>179</v>
      </c>
      <c r="T16" s="30">
        <f t="shared" si="6"/>
        <v>0.97674927113702625</v>
      </c>
    </row>
    <row r="17" spans="1:20">
      <c r="A17" s="34">
        <f>A7+1</f>
        <v>2</v>
      </c>
      <c r="B17" s="34">
        <f>B7</f>
        <v>1</v>
      </c>
      <c r="C17" s="34">
        <f t="shared" si="7"/>
        <v>11</v>
      </c>
      <c r="D17" s="34">
        <v>1233</v>
      </c>
      <c r="E17" s="34">
        <f t="shared" si="8"/>
        <v>130</v>
      </c>
      <c r="F17">
        <f t="shared" si="11"/>
        <v>214</v>
      </c>
      <c r="G17" t="str">
        <f t="shared" si="4"/>
        <v>AC</v>
      </c>
      <c r="H17">
        <f t="shared" si="4"/>
        <v>10</v>
      </c>
      <c r="I17">
        <f t="shared" si="4"/>
        <v>1.6</v>
      </c>
      <c r="J17">
        <f t="shared" si="4"/>
        <v>4992</v>
      </c>
      <c r="K17">
        <f t="shared" si="4"/>
        <v>4870</v>
      </c>
      <c r="L17">
        <f t="shared" si="4"/>
        <v>0.98</v>
      </c>
      <c r="M17">
        <f t="shared" si="4"/>
        <v>621</v>
      </c>
      <c r="N17">
        <f t="shared" si="4"/>
        <v>8109</v>
      </c>
      <c r="O17">
        <f t="shared" si="4"/>
        <v>1.62</v>
      </c>
      <c r="P17">
        <f t="shared" si="4"/>
        <v>811</v>
      </c>
      <c r="Q17">
        <f t="shared" si="4"/>
        <v>1035</v>
      </c>
      <c r="R17">
        <f t="shared" si="4"/>
        <v>162</v>
      </c>
      <c r="T17" s="30">
        <f t="shared" si="6"/>
        <v>0.60056727093353068</v>
      </c>
    </row>
    <row r="18" spans="1:20">
      <c r="A18" s="34">
        <f t="shared" ref="A18:A81" si="12">A8+1</f>
        <v>2</v>
      </c>
      <c r="B18" s="34">
        <f t="shared" ref="B18:B81" si="13">B8</f>
        <v>2</v>
      </c>
      <c r="C18" s="34">
        <f t="shared" si="7"/>
        <v>12</v>
      </c>
      <c r="D18" s="34">
        <v>669</v>
      </c>
      <c r="E18" s="34">
        <f t="shared" si="8"/>
        <v>143</v>
      </c>
      <c r="F18">
        <f t="shared" si="11"/>
        <v>215</v>
      </c>
      <c r="G18" t="str">
        <f t="shared" si="4"/>
        <v>AC</v>
      </c>
      <c r="H18">
        <f t="shared" si="4"/>
        <v>10</v>
      </c>
      <c r="I18">
        <f t="shared" si="4"/>
        <v>2.5</v>
      </c>
      <c r="J18">
        <f t="shared" si="4"/>
        <v>4992</v>
      </c>
      <c r="K18">
        <f t="shared" si="4"/>
        <v>6293</v>
      </c>
      <c r="L18">
        <f t="shared" si="4"/>
        <v>1.26</v>
      </c>
      <c r="M18">
        <f t="shared" si="4"/>
        <v>512</v>
      </c>
      <c r="N18">
        <f t="shared" si="4"/>
        <v>6293</v>
      </c>
      <c r="O18">
        <f t="shared" si="4"/>
        <v>1.26</v>
      </c>
      <c r="P18">
        <f t="shared" si="4"/>
        <v>629</v>
      </c>
      <c r="Q18">
        <f t="shared" si="4"/>
        <v>512</v>
      </c>
      <c r="R18">
        <f t="shared" si="4"/>
        <v>126</v>
      </c>
      <c r="T18" s="30">
        <f t="shared" si="6"/>
        <v>1</v>
      </c>
    </row>
    <row r="19" spans="1:20">
      <c r="A19" s="34">
        <f t="shared" si="12"/>
        <v>2</v>
      </c>
      <c r="B19" s="34">
        <f t="shared" si="13"/>
        <v>3</v>
      </c>
      <c r="C19" s="34">
        <f t="shared" si="7"/>
        <v>13</v>
      </c>
      <c r="D19" s="34">
        <v>247</v>
      </c>
      <c r="E19" s="34">
        <f t="shared" si="8"/>
        <v>156</v>
      </c>
      <c r="F19">
        <f t="shared" si="11"/>
        <v>217</v>
      </c>
      <c r="G19" t="str">
        <f t="shared" si="4"/>
        <v>AC</v>
      </c>
      <c r="H19">
        <f t="shared" si="4"/>
        <v>10</v>
      </c>
      <c r="I19">
        <f t="shared" si="4"/>
        <v>2.6</v>
      </c>
      <c r="J19">
        <f t="shared" si="4"/>
        <v>5096</v>
      </c>
      <c r="K19">
        <f t="shared" si="4"/>
        <v>6246</v>
      </c>
      <c r="L19">
        <f t="shared" si="4"/>
        <v>1.23</v>
      </c>
      <c r="M19">
        <f t="shared" si="4"/>
        <v>479</v>
      </c>
      <c r="N19">
        <f t="shared" si="4"/>
        <v>6334</v>
      </c>
      <c r="O19">
        <f t="shared" si="4"/>
        <v>1.24</v>
      </c>
      <c r="P19">
        <f t="shared" si="4"/>
        <v>633</v>
      </c>
      <c r="Q19">
        <f t="shared" si="4"/>
        <v>485</v>
      </c>
      <c r="R19">
        <f t="shared" si="4"/>
        <v>124</v>
      </c>
      <c r="T19" s="30">
        <f t="shared" si="6"/>
        <v>0.98610672560783075</v>
      </c>
    </row>
    <row r="20" spans="1:20">
      <c r="A20" s="34">
        <f t="shared" si="12"/>
        <v>2</v>
      </c>
      <c r="B20" s="34">
        <f t="shared" si="13"/>
        <v>4</v>
      </c>
      <c r="C20" s="34">
        <f t="shared" si="7"/>
        <v>14</v>
      </c>
      <c r="D20" s="34">
        <v>203</v>
      </c>
      <c r="E20" s="34">
        <f t="shared" si="8"/>
        <v>169</v>
      </c>
      <c r="F20">
        <f t="shared" si="11"/>
        <v>218</v>
      </c>
      <c r="G20" t="str">
        <f t="shared" si="4"/>
        <v>AC</v>
      </c>
      <c r="H20">
        <f t="shared" si="4"/>
        <v>10</v>
      </c>
      <c r="I20">
        <f t="shared" si="4"/>
        <v>2.9</v>
      </c>
      <c r="J20">
        <f t="shared" si="4"/>
        <v>5460</v>
      </c>
      <c r="K20">
        <f t="shared" si="4"/>
        <v>8810</v>
      </c>
      <c r="L20">
        <f t="shared" si="4"/>
        <v>1.61</v>
      </c>
      <c r="M20">
        <f t="shared" si="4"/>
        <v>553</v>
      </c>
      <c r="N20">
        <f t="shared" si="4"/>
        <v>10383</v>
      </c>
      <c r="O20">
        <f t="shared" si="4"/>
        <v>1.9</v>
      </c>
      <c r="P20">
        <f t="shared" si="4"/>
        <v>1038</v>
      </c>
      <c r="Q20">
        <f t="shared" si="4"/>
        <v>652</v>
      </c>
      <c r="R20">
        <f t="shared" si="4"/>
        <v>190</v>
      </c>
      <c r="T20" s="30">
        <f t="shared" si="6"/>
        <v>0.84850235962631226</v>
      </c>
    </row>
    <row r="21" spans="1:20">
      <c r="A21" s="34">
        <f t="shared" si="12"/>
        <v>2</v>
      </c>
      <c r="B21" s="34">
        <f t="shared" si="13"/>
        <v>5</v>
      </c>
      <c r="C21" s="34">
        <f t="shared" si="7"/>
        <v>15</v>
      </c>
      <c r="D21" s="34" t="s">
        <v>92</v>
      </c>
      <c r="E21" s="34">
        <f t="shared" si="8"/>
        <v>182</v>
      </c>
      <c r="F21">
        <f t="shared" si="11"/>
        <v>219</v>
      </c>
      <c r="G21" t="str">
        <f t="shared" si="4"/>
        <v>AC</v>
      </c>
      <c r="H21">
        <f t="shared" si="4"/>
        <v>15</v>
      </c>
      <c r="I21">
        <f t="shared" si="4"/>
        <v>1.7</v>
      </c>
      <c r="J21">
        <f t="shared" si="4"/>
        <v>4992</v>
      </c>
      <c r="K21">
        <f t="shared" si="4"/>
        <v>4854</v>
      </c>
      <c r="L21">
        <f t="shared" si="4"/>
        <v>0.97</v>
      </c>
      <c r="M21">
        <f t="shared" si="4"/>
        <v>566</v>
      </c>
      <c r="N21">
        <f t="shared" si="4"/>
        <v>2369</v>
      </c>
      <c r="O21">
        <f t="shared" si="4"/>
        <v>0.47</v>
      </c>
      <c r="P21">
        <f t="shared" si="4"/>
        <v>158</v>
      </c>
      <c r="Q21">
        <f t="shared" si="4"/>
        <v>276</v>
      </c>
      <c r="R21">
        <f t="shared" si="4"/>
        <v>32</v>
      </c>
      <c r="T21" s="30">
        <f t="shared" si="6"/>
        <v>2.0489658083579569</v>
      </c>
    </row>
    <row r="22" spans="1:20">
      <c r="A22" s="34">
        <f t="shared" si="12"/>
        <v>2</v>
      </c>
      <c r="B22" s="34">
        <f t="shared" si="13"/>
        <v>6</v>
      </c>
      <c r="C22" s="34">
        <f t="shared" si="7"/>
        <v>16</v>
      </c>
      <c r="D22" s="34">
        <v>10</v>
      </c>
      <c r="E22" s="34">
        <f t="shared" si="8"/>
        <v>195</v>
      </c>
      <c r="F22">
        <f t="shared" si="11"/>
        <v>220</v>
      </c>
      <c r="G22" t="str">
        <f t="shared" si="4"/>
        <v>AC</v>
      </c>
      <c r="H22">
        <f t="shared" si="4"/>
        <v>15</v>
      </c>
      <c r="I22">
        <f t="shared" si="4"/>
        <v>1.4</v>
      </c>
      <c r="J22">
        <f t="shared" si="4"/>
        <v>4992</v>
      </c>
      <c r="K22">
        <f t="shared" si="4"/>
        <v>4092</v>
      </c>
      <c r="L22">
        <f t="shared" si="4"/>
        <v>0.82</v>
      </c>
      <c r="M22">
        <f t="shared" si="4"/>
        <v>598</v>
      </c>
      <c r="N22">
        <f t="shared" si="4"/>
        <v>7121</v>
      </c>
      <c r="O22">
        <f t="shared" si="4"/>
        <v>1.43</v>
      </c>
      <c r="P22">
        <f t="shared" si="4"/>
        <v>475</v>
      </c>
      <c r="Q22">
        <f t="shared" si="4"/>
        <v>1040</v>
      </c>
      <c r="R22">
        <f t="shared" si="4"/>
        <v>95</v>
      </c>
      <c r="T22" s="30">
        <f t="shared" si="6"/>
        <v>0.57463839348406121</v>
      </c>
    </row>
    <row r="23" spans="1:20">
      <c r="A23" s="34">
        <f t="shared" si="12"/>
        <v>2</v>
      </c>
      <c r="B23" s="34">
        <f t="shared" si="13"/>
        <v>7</v>
      </c>
      <c r="C23" s="34">
        <f t="shared" si="7"/>
        <v>17</v>
      </c>
      <c r="D23" s="34">
        <v>2.2999999999999998</v>
      </c>
      <c r="E23" s="34">
        <f t="shared" si="8"/>
        <v>208</v>
      </c>
      <c r="F23">
        <f t="shared" si="11"/>
        <v>221</v>
      </c>
      <c r="G23" t="str">
        <f t="shared" si="11"/>
        <v>AC</v>
      </c>
      <c r="H23">
        <f t="shared" si="11"/>
        <v>10</v>
      </c>
      <c r="I23">
        <f t="shared" si="11"/>
        <v>2</v>
      </c>
      <c r="J23">
        <f t="shared" si="11"/>
        <v>4992</v>
      </c>
      <c r="K23">
        <f t="shared" si="11"/>
        <v>6687</v>
      </c>
      <c r="L23">
        <f t="shared" si="11"/>
        <v>1.34</v>
      </c>
      <c r="M23">
        <f t="shared" si="11"/>
        <v>676</v>
      </c>
      <c r="N23">
        <f t="shared" si="11"/>
        <v>6531</v>
      </c>
      <c r="O23">
        <f t="shared" si="11"/>
        <v>1.31</v>
      </c>
      <c r="P23">
        <f t="shared" si="11"/>
        <v>653</v>
      </c>
      <c r="Q23">
        <f t="shared" si="11"/>
        <v>661</v>
      </c>
      <c r="R23">
        <f t="shared" ref="R23:R42" si="14">VLOOKUP(($E23+R$6),$C$7:$D$1000,2,FALSE)</f>
        <v>131</v>
      </c>
      <c r="T23" s="30">
        <f t="shared" si="6"/>
        <v>1.0238860817638953</v>
      </c>
    </row>
    <row r="24" spans="1:20">
      <c r="A24" s="34">
        <f t="shared" si="12"/>
        <v>2</v>
      </c>
      <c r="B24" s="34">
        <f t="shared" si="13"/>
        <v>8</v>
      </c>
      <c r="C24" s="34">
        <f t="shared" si="7"/>
        <v>18</v>
      </c>
      <c r="D24" s="34">
        <v>4992</v>
      </c>
      <c r="E24" s="34">
        <f t="shared" si="8"/>
        <v>221</v>
      </c>
      <c r="F24">
        <f t="shared" si="11"/>
        <v>222</v>
      </c>
      <c r="G24" t="str">
        <f t="shared" si="11"/>
        <v>AC</v>
      </c>
      <c r="H24">
        <f t="shared" si="11"/>
        <v>15</v>
      </c>
      <c r="I24">
        <f t="shared" si="11"/>
        <v>1.9</v>
      </c>
      <c r="J24">
        <f t="shared" si="11"/>
        <v>4992</v>
      </c>
      <c r="K24">
        <f t="shared" si="11"/>
        <v>6279</v>
      </c>
      <c r="L24">
        <f t="shared" si="11"/>
        <v>1.26</v>
      </c>
      <c r="M24">
        <f t="shared" si="11"/>
        <v>680</v>
      </c>
      <c r="N24">
        <f t="shared" si="11"/>
        <v>6736</v>
      </c>
      <c r="O24">
        <f t="shared" si="11"/>
        <v>1.35</v>
      </c>
      <c r="P24">
        <f t="shared" si="11"/>
        <v>449</v>
      </c>
      <c r="Q24">
        <f t="shared" si="11"/>
        <v>729</v>
      </c>
      <c r="R24">
        <f t="shared" si="14"/>
        <v>90</v>
      </c>
      <c r="T24" s="30">
        <f t="shared" si="6"/>
        <v>0.93215558194774351</v>
      </c>
    </row>
    <row r="25" spans="1:20">
      <c r="A25" s="34">
        <f t="shared" si="12"/>
        <v>2</v>
      </c>
      <c r="B25" s="34">
        <f t="shared" si="13"/>
        <v>9</v>
      </c>
      <c r="C25" s="34">
        <f t="shared" ref="C25:C88" si="15">C24+1</f>
        <v>19</v>
      </c>
      <c r="D25" s="34">
        <v>7003</v>
      </c>
      <c r="E25" s="34">
        <f t="shared" si="8"/>
        <v>234</v>
      </c>
      <c r="F25">
        <f t="shared" si="11"/>
        <v>223</v>
      </c>
      <c r="G25" t="str">
        <f t="shared" si="11"/>
        <v>AC</v>
      </c>
      <c r="H25">
        <f t="shared" si="11"/>
        <v>15</v>
      </c>
      <c r="I25">
        <f t="shared" si="11"/>
        <v>2.4</v>
      </c>
      <c r="J25">
        <f t="shared" si="11"/>
        <v>4992</v>
      </c>
      <c r="K25">
        <f t="shared" si="11"/>
        <v>7892</v>
      </c>
      <c r="L25">
        <f t="shared" si="11"/>
        <v>1.58</v>
      </c>
      <c r="M25">
        <f t="shared" si="11"/>
        <v>648</v>
      </c>
      <c r="N25">
        <f t="shared" si="11"/>
        <v>10219</v>
      </c>
      <c r="O25">
        <f t="shared" si="11"/>
        <v>2.0499999999999998</v>
      </c>
      <c r="P25">
        <f t="shared" si="11"/>
        <v>681</v>
      </c>
      <c r="Q25">
        <f t="shared" si="11"/>
        <v>839</v>
      </c>
      <c r="R25">
        <f t="shared" si="14"/>
        <v>136</v>
      </c>
      <c r="T25" s="30">
        <f t="shared" si="6"/>
        <v>0.77228691652803605</v>
      </c>
    </row>
    <row r="26" spans="1:20">
      <c r="A26" s="34">
        <f t="shared" si="12"/>
        <v>2</v>
      </c>
      <c r="B26" s="34">
        <f t="shared" si="13"/>
        <v>10</v>
      </c>
      <c r="C26" s="34">
        <f t="shared" si="15"/>
        <v>20</v>
      </c>
      <c r="D26" s="34">
        <v>1.4</v>
      </c>
      <c r="E26" s="34">
        <f t="shared" si="8"/>
        <v>247</v>
      </c>
      <c r="F26">
        <f t="shared" si="11"/>
        <v>224</v>
      </c>
      <c r="G26" t="str">
        <f t="shared" si="11"/>
        <v>AC</v>
      </c>
      <c r="H26">
        <f t="shared" si="11"/>
        <v>10</v>
      </c>
      <c r="I26">
        <f t="shared" si="11"/>
        <v>1.7</v>
      </c>
      <c r="J26">
        <f t="shared" si="11"/>
        <v>5200</v>
      </c>
      <c r="K26">
        <f t="shared" si="11"/>
        <v>5565</v>
      </c>
      <c r="L26">
        <f t="shared" si="11"/>
        <v>1.07</v>
      </c>
      <c r="M26">
        <f t="shared" si="11"/>
        <v>630</v>
      </c>
      <c r="N26">
        <f t="shared" si="11"/>
        <v>8465</v>
      </c>
      <c r="O26">
        <f t="shared" si="11"/>
        <v>1.63</v>
      </c>
      <c r="P26">
        <f t="shared" si="11"/>
        <v>847</v>
      </c>
      <c r="Q26">
        <f t="shared" si="11"/>
        <v>958</v>
      </c>
      <c r="R26">
        <f t="shared" si="14"/>
        <v>163</v>
      </c>
      <c r="T26" s="30">
        <f t="shared" si="6"/>
        <v>0.65741287655050207</v>
      </c>
    </row>
    <row r="27" spans="1:20">
      <c r="A27" s="34">
        <f t="shared" si="12"/>
        <v>3</v>
      </c>
      <c r="B27" s="34">
        <f t="shared" si="13"/>
        <v>1</v>
      </c>
      <c r="C27" s="34">
        <f t="shared" si="15"/>
        <v>21</v>
      </c>
      <c r="D27" s="34">
        <v>615</v>
      </c>
      <c r="E27" s="34">
        <f t="shared" si="8"/>
        <v>260</v>
      </c>
      <c r="F27">
        <f t="shared" si="11"/>
        <v>225</v>
      </c>
      <c r="G27" t="str">
        <f t="shared" si="11"/>
        <v>AC</v>
      </c>
      <c r="H27">
        <f t="shared" si="11"/>
        <v>10</v>
      </c>
      <c r="I27">
        <f t="shared" si="11"/>
        <v>2</v>
      </c>
      <c r="J27">
        <f t="shared" si="11"/>
        <v>5200</v>
      </c>
      <c r="K27">
        <f t="shared" si="11"/>
        <v>7107</v>
      </c>
      <c r="L27">
        <f t="shared" si="11"/>
        <v>1.37</v>
      </c>
      <c r="M27">
        <f t="shared" si="11"/>
        <v>699</v>
      </c>
      <c r="N27">
        <f t="shared" si="11"/>
        <v>7107</v>
      </c>
      <c r="O27">
        <f t="shared" si="11"/>
        <v>1.37</v>
      </c>
      <c r="P27">
        <f t="shared" si="11"/>
        <v>711</v>
      </c>
      <c r="Q27">
        <f t="shared" si="11"/>
        <v>699</v>
      </c>
      <c r="R27">
        <f t="shared" si="14"/>
        <v>137</v>
      </c>
      <c r="T27" s="30">
        <f t="shared" si="6"/>
        <v>1</v>
      </c>
    </row>
    <row r="28" spans="1:20">
      <c r="A28" s="34">
        <f t="shared" si="12"/>
        <v>3</v>
      </c>
      <c r="B28" s="34">
        <f t="shared" si="13"/>
        <v>2</v>
      </c>
      <c r="C28" s="34">
        <f t="shared" si="15"/>
        <v>22</v>
      </c>
      <c r="D28" s="34">
        <v>6913</v>
      </c>
      <c r="E28" s="34">
        <f t="shared" si="8"/>
        <v>273</v>
      </c>
      <c r="F28">
        <f t="shared" si="11"/>
        <v>226</v>
      </c>
      <c r="G28" t="str">
        <f t="shared" si="11"/>
        <v>AC</v>
      </c>
      <c r="H28">
        <f t="shared" si="11"/>
        <v>12.5</v>
      </c>
      <c r="I28">
        <f t="shared" si="11"/>
        <v>3.4</v>
      </c>
      <c r="J28">
        <f t="shared" si="11"/>
        <v>4992</v>
      </c>
      <c r="K28">
        <f t="shared" si="11"/>
        <v>10040</v>
      </c>
      <c r="L28">
        <f t="shared" si="11"/>
        <v>2.0099999999999998</v>
      </c>
      <c r="M28">
        <f t="shared" si="11"/>
        <v>594</v>
      </c>
      <c r="N28">
        <f t="shared" si="11"/>
        <v>13105</v>
      </c>
      <c r="O28">
        <f t="shared" si="11"/>
        <v>2.63</v>
      </c>
      <c r="P28">
        <f t="shared" si="11"/>
        <v>1048</v>
      </c>
      <c r="Q28">
        <f t="shared" si="11"/>
        <v>775</v>
      </c>
      <c r="R28">
        <f t="shared" si="14"/>
        <v>210</v>
      </c>
      <c r="T28" s="30">
        <f t="shared" si="6"/>
        <v>0.76611980160244186</v>
      </c>
    </row>
    <row r="29" spans="1:20">
      <c r="A29" s="34">
        <f t="shared" si="12"/>
        <v>3</v>
      </c>
      <c r="B29" s="34">
        <f t="shared" si="13"/>
        <v>3</v>
      </c>
      <c r="C29" s="34">
        <f t="shared" si="15"/>
        <v>23</v>
      </c>
      <c r="D29" s="34">
        <v>1.38</v>
      </c>
      <c r="E29" s="34">
        <f t="shared" si="8"/>
        <v>286</v>
      </c>
      <c r="F29">
        <f t="shared" si="11"/>
        <v>228</v>
      </c>
      <c r="G29" t="str">
        <f t="shared" si="11"/>
        <v>AC</v>
      </c>
      <c r="H29">
        <f t="shared" si="11"/>
        <v>10</v>
      </c>
      <c r="I29">
        <f t="shared" si="11"/>
        <v>3.1</v>
      </c>
      <c r="J29">
        <f t="shared" si="11"/>
        <v>5200</v>
      </c>
      <c r="K29">
        <f t="shared" si="11"/>
        <v>7077</v>
      </c>
      <c r="L29">
        <f t="shared" si="11"/>
        <v>1.36</v>
      </c>
      <c r="M29">
        <f t="shared" si="11"/>
        <v>445</v>
      </c>
      <c r="N29">
        <f t="shared" si="11"/>
        <v>10340</v>
      </c>
      <c r="O29">
        <f t="shared" si="11"/>
        <v>1.99</v>
      </c>
      <c r="P29">
        <f t="shared" si="11"/>
        <v>1034</v>
      </c>
      <c r="Q29">
        <f t="shared" si="11"/>
        <v>650</v>
      </c>
      <c r="R29">
        <f t="shared" si="14"/>
        <v>199</v>
      </c>
      <c r="T29" s="30">
        <f t="shared" si="6"/>
        <v>0.68442940038684719</v>
      </c>
    </row>
    <row r="30" spans="1:20">
      <c r="A30" s="34">
        <f t="shared" si="12"/>
        <v>3</v>
      </c>
      <c r="B30" s="34">
        <f t="shared" si="13"/>
        <v>4</v>
      </c>
      <c r="C30" s="34">
        <f t="shared" si="15"/>
        <v>24</v>
      </c>
      <c r="D30" s="34">
        <v>691</v>
      </c>
      <c r="E30" s="34">
        <f t="shared" si="8"/>
        <v>299</v>
      </c>
      <c r="F30">
        <f t="shared" si="11"/>
        <v>229</v>
      </c>
      <c r="G30" t="str">
        <f t="shared" si="11"/>
        <v>AC</v>
      </c>
      <c r="H30">
        <f t="shared" si="11"/>
        <v>10</v>
      </c>
      <c r="I30">
        <f t="shared" si="11"/>
        <v>5</v>
      </c>
      <c r="J30">
        <f t="shared" si="11"/>
        <v>4888</v>
      </c>
      <c r="K30">
        <f t="shared" si="11"/>
        <v>15232</v>
      </c>
      <c r="L30">
        <f t="shared" si="11"/>
        <v>3.12</v>
      </c>
      <c r="M30">
        <f t="shared" si="11"/>
        <v>621</v>
      </c>
      <c r="N30">
        <f t="shared" si="11"/>
        <v>15232</v>
      </c>
      <c r="O30">
        <f t="shared" si="11"/>
        <v>3.12</v>
      </c>
      <c r="P30">
        <f t="shared" si="11"/>
        <v>1523</v>
      </c>
      <c r="Q30">
        <f t="shared" si="11"/>
        <v>621</v>
      </c>
      <c r="R30">
        <f t="shared" si="14"/>
        <v>312</v>
      </c>
      <c r="T30" s="30">
        <f t="shared" si="6"/>
        <v>1</v>
      </c>
    </row>
    <row r="31" spans="1:20">
      <c r="A31" s="34">
        <f t="shared" si="12"/>
        <v>3</v>
      </c>
      <c r="B31" s="34">
        <f t="shared" si="13"/>
        <v>5</v>
      </c>
      <c r="C31" s="34">
        <f t="shared" si="15"/>
        <v>25</v>
      </c>
      <c r="D31" s="34">
        <v>607</v>
      </c>
      <c r="E31" s="34">
        <f t="shared" si="8"/>
        <v>312</v>
      </c>
      <c r="F31">
        <f t="shared" si="11"/>
        <v>231</v>
      </c>
      <c r="G31" t="str">
        <f t="shared" si="11"/>
        <v>AC</v>
      </c>
      <c r="H31">
        <f t="shared" si="11"/>
        <v>7.5</v>
      </c>
      <c r="I31">
        <f t="shared" si="11"/>
        <v>2.2000000000000002</v>
      </c>
      <c r="J31">
        <f t="shared" si="11"/>
        <v>5460</v>
      </c>
      <c r="K31">
        <f t="shared" si="11"/>
        <v>5500</v>
      </c>
      <c r="L31">
        <f t="shared" si="11"/>
        <v>1.01</v>
      </c>
      <c r="M31">
        <f t="shared" si="11"/>
        <v>457</v>
      </c>
      <c r="N31">
        <f t="shared" si="11"/>
        <v>6082</v>
      </c>
      <c r="O31">
        <f t="shared" si="11"/>
        <v>1.1100000000000001</v>
      </c>
      <c r="P31">
        <f t="shared" si="11"/>
        <v>811</v>
      </c>
      <c r="Q31">
        <f t="shared" si="11"/>
        <v>506</v>
      </c>
      <c r="R31">
        <f t="shared" si="14"/>
        <v>149</v>
      </c>
      <c r="T31" s="30">
        <f t="shared" si="6"/>
        <v>0.90430779348898394</v>
      </c>
    </row>
    <row r="32" spans="1:20">
      <c r="A32" s="34">
        <f t="shared" si="12"/>
        <v>3</v>
      </c>
      <c r="B32" s="34">
        <f t="shared" si="13"/>
        <v>6</v>
      </c>
      <c r="C32" s="34">
        <f t="shared" si="15"/>
        <v>26</v>
      </c>
      <c r="D32" s="34">
        <v>138</v>
      </c>
      <c r="E32" s="34">
        <f t="shared" si="8"/>
        <v>325</v>
      </c>
      <c r="F32">
        <f t="shared" si="11"/>
        <v>362</v>
      </c>
      <c r="G32" t="str">
        <f t="shared" si="11"/>
        <v>AC</v>
      </c>
      <c r="H32">
        <f t="shared" si="11"/>
        <v>18</v>
      </c>
      <c r="I32">
        <f t="shared" si="11"/>
        <v>3.3</v>
      </c>
      <c r="J32">
        <f t="shared" si="11"/>
        <v>7904</v>
      </c>
      <c r="K32">
        <f t="shared" si="11"/>
        <v>9045</v>
      </c>
      <c r="L32">
        <f t="shared" si="11"/>
        <v>1.1399999999999999</v>
      </c>
      <c r="M32">
        <f t="shared" si="11"/>
        <v>342</v>
      </c>
      <c r="N32">
        <f t="shared" si="11"/>
        <v>15457</v>
      </c>
      <c r="O32">
        <f t="shared" si="11"/>
        <v>1.96</v>
      </c>
      <c r="P32">
        <f t="shared" si="11"/>
        <v>859</v>
      </c>
      <c r="Q32">
        <f t="shared" si="11"/>
        <v>584</v>
      </c>
      <c r="R32">
        <f t="shared" si="14"/>
        <v>109</v>
      </c>
      <c r="T32" s="30">
        <f t="shared" si="6"/>
        <v>0.58517176683703176</v>
      </c>
    </row>
    <row r="33" spans="1:20">
      <c r="A33" s="34">
        <f t="shared" si="12"/>
        <v>3</v>
      </c>
      <c r="B33" s="34">
        <f t="shared" si="13"/>
        <v>7</v>
      </c>
      <c r="C33" s="34">
        <f t="shared" si="15"/>
        <v>27</v>
      </c>
      <c r="D33" s="34">
        <v>204</v>
      </c>
      <c r="E33" s="34">
        <f t="shared" si="8"/>
        <v>338</v>
      </c>
      <c r="F33">
        <f t="shared" si="11"/>
        <v>363</v>
      </c>
      <c r="G33" t="str">
        <f t="shared" si="11"/>
        <v>AC</v>
      </c>
      <c r="H33">
        <f t="shared" si="11"/>
        <v>20</v>
      </c>
      <c r="I33">
        <f t="shared" si="11"/>
        <v>7.7</v>
      </c>
      <c r="J33">
        <f t="shared" si="11"/>
        <v>7904</v>
      </c>
      <c r="K33">
        <f t="shared" si="11"/>
        <v>38920</v>
      </c>
      <c r="L33">
        <f t="shared" si="11"/>
        <v>4.92</v>
      </c>
      <c r="M33">
        <f t="shared" si="11"/>
        <v>640</v>
      </c>
      <c r="N33">
        <f t="shared" si="11"/>
        <v>41229</v>
      </c>
      <c r="O33">
        <f t="shared" si="11"/>
        <v>5.22</v>
      </c>
      <c r="P33">
        <f t="shared" si="11"/>
        <v>2061</v>
      </c>
      <c r="Q33">
        <f t="shared" si="11"/>
        <v>678</v>
      </c>
      <c r="R33">
        <f t="shared" si="14"/>
        <v>261</v>
      </c>
      <c r="T33" s="30">
        <f t="shared" si="6"/>
        <v>0.94399573116010571</v>
      </c>
    </row>
    <row r="34" spans="1:20">
      <c r="A34" s="34">
        <f t="shared" si="12"/>
        <v>3</v>
      </c>
      <c r="B34" s="34">
        <f t="shared" si="13"/>
        <v>8</v>
      </c>
      <c r="C34" s="34">
        <f t="shared" si="15"/>
        <v>28</v>
      </c>
      <c r="D34" s="34" t="s">
        <v>92</v>
      </c>
      <c r="E34" s="34">
        <f t="shared" si="8"/>
        <v>351</v>
      </c>
      <c r="F34">
        <f t="shared" si="11"/>
        <v>364</v>
      </c>
      <c r="G34" t="str">
        <f t="shared" si="11"/>
        <v>AC</v>
      </c>
      <c r="H34">
        <f t="shared" si="11"/>
        <v>25</v>
      </c>
      <c r="I34">
        <f t="shared" si="11"/>
        <v>6.4</v>
      </c>
      <c r="J34">
        <f t="shared" si="11"/>
        <v>5460</v>
      </c>
      <c r="K34">
        <f t="shared" si="11"/>
        <v>23898</v>
      </c>
      <c r="L34">
        <f t="shared" si="11"/>
        <v>4.38</v>
      </c>
      <c r="M34">
        <f t="shared" si="11"/>
        <v>689</v>
      </c>
      <c r="N34">
        <f t="shared" si="11"/>
        <v>25034</v>
      </c>
      <c r="O34">
        <f t="shared" si="11"/>
        <v>4.58</v>
      </c>
      <c r="P34">
        <f t="shared" si="11"/>
        <v>1001</v>
      </c>
      <c r="Q34">
        <f t="shared" si="11"/>
        <v>721</v>
      </c>
      <c r="R34">
        <f t="shared" si="14"/>
        <v>183</v>
      </c>
      <c r="T34" s="30">
        <f t="shared" si="6"/>
        <v>0.95462171446832311</v>
      </c>
    </row>
    <row r="35" spans="1:20">
      <c r="A35" s="34">
        <f t="shared" si="12"/>
        <v>3</v>
      </c>
      <c r="B35" s="34">
        <f t="shared" si="13"/>
        <v>9</v>
      </c>
      <c r="C35" s="34">
        <f t="shared" si="15"/>
        <v>29</v>
      </c>
      <c r="D35" s="34">
        <v>10</v>
      </c>
      <c r="E35" s="34">
        <f t="shared" si="8"/>
        <v>364</v>
      </c>
      <c r="F35">
        <f t="shared" si="11"/>
        <v>365</v>
      </c>
      <c r="G35" t="str">
        <f t="shared" si="11"/>
        <v>AC</v>
      </c>
      <c r="H35">
        <f t="shared" si="11"/>
        <v>25</v>
      </c>
      <c r="I35">
        <f t="shared" si="11"/>
        <v>6.8</v>
      </c>
      <c r="J35">
        <f t="shared" si="11"/>
        <v>5460</v>
      </c>
      <c r="K35">
        <f t="shared" si="11"/>
        <v>24570</v>
      </c>
      <c r="L35">
        <f t="shared" si="11"/>
        <v>4.5</v>
      </c>
      <c r="M35">
        <f t="shared" si="11"/>
        <v>665</v>
      </c>
      <c r="N35">
        <f t="shared" si="11"/>
        <v>24357</v>
      </c>
      <c r="O35">
        <f t="shared" si="11"/>
        <v>4.46</v>
      </c>
      <c r="P35">
        <f t="shared" si="11"/>
        <v>974</v>
      </c>
      <c r="Q35">
        <f t="shared" si="11"/>
        <v>659</v>
      </c>
      <c r="R35">
        <f t="shared" si="14"/>
        <v>178</v>
      </c>
      <c r="T35" s="30">
        <f t="shared" si="6"/>
        <v>1.00874491932504</v>
      </c>
    </row>
    <row r="36" spans="1:20">
      <c r="A36" s="34">
        <f t="shared" si="12"/>
        <v>3</v>
      </c>
      <c r="B36" s="34">
        <f t="shared" si="13"/>
        <v>10</v>
      </c>
      <c r="C36" s="34">
        <f t="shared" si="15"/>
        <v>30</v>
      </c>
      <c r="D36" s="34">
        <v>3.1</v>
      </c>
      <c r="E36" s="34">
        <f t="shared" si="8"/>
        <v>377</v>
      </c>
      <c r="F36">
        <f t="shared" si="11"/>
        <v>366</v>
      </c>
      <c r="G36" t="str">
        <f t="shared" si="11"/>
        <v>AC</v>
      </c>
      <c r="H36">
        <f t="shared" si="11"/>
        <v>25</v>
      </c>
      <c r="I36">
        <f t="shared" si="11"/>
        <v>6.7</v>
      </c>
      <c r="J36">
        <f t="shared" si="11"/>
        <v>8736</v>
      </c>
      <c r="K36">
        <f t="shared" si="11"/>
        <v>37497</v>
      </c>
      <c r="L36">
        <f t="shared" si="11"/>
        <v>4.29</v>
      </c>
      <c r="M36">
        <f t="shared" si="11"/>
        <v>640</v>
      </c>
      <c r="N36">
        <f t="shared" si="11"/>
        <v>29320</v>
      </c>
      <c r="O36">
        <f t="shared" si="11"/>
        <v>3.36</v>
      </c>
      <c r="P36">
        <f t="shared" si="11"/>
        <v>1173</v>
      </c>
      <c r="Q36">
        <f t="shared" si="11"/>
        <v>501</v>
      </c>
      <c r="R36">
        <f t="shared" si="14"/>
        <v>134</v>
      </c>
      <c r="T36" s="30">
        <f t="shared" si="6"/>
        <v>1.2788881309686222</v>
      </c>
    </row>
    <row r="37" spans="1:20">
      <c r="A37" s="34">
        <f t="shared" si="12"/>
        <v>4</v>
      </c>
      <c r="B37" s="34">
        <f t="shared" si="13"/>
        <v>1</v>
      </c>
      <c r="C37" s="34">
        <f t="shared" si="15"/>
        <v>31</v>
      </c>
      <c r="D37" s="34">
        <v>5460</v>
      </c>
      <c r="E37" s="34">
        <f t="shared" si="8"/>
        <v>390</v>
      </c>
      <c r="F37">
        <f t="shared" si="11"/>
        <v>367</v>
      </c>
      <c r="G37" t="str">
        <f t="shared" si="11"/>
        <v>AC</v>
      </c>
      <c r="H37">
        <f t="shared" si="11"/>
        <v>25</v>
      </c>
      <c r="I37">
        <f t="shared" si="11"/>
        <v>8.1</v>
      </c>
      <c r="J37">
        <f t="shared" si="11"/>
        <v>8736</v>
      </c>
      <c r="K37">
        <f t="shared" si="11"/>
        <v>42477</v>
      </c>
      <c r="L37">
        <f t="shared" si="11"/>
        <v>4.8600000000000003</v>
      </c>
      <c r="M37">
        <f t="shared" si="11"/>
        <v>602</v>
      </c>
      <c r="N37">
        <f t="shared" si="11"/>
        <v>27892</v>
      </c>
      <c r="O37">
        <f t="shared" si="11"/>
        <v>3.19</v>
      </c>
      <c r="P37">
        <f t="shared" si="11"/>
        <v>1116</v>
      </c>
      <c r="Q37">
        <f t="shared" si="11"/>
        <v>395</v>
      </c>
      <c r="R37">
        <f t="shared" si="14"/>
        <v>128</v>
      </c>
      <c r="T37" s="30">
        <f t="shared" si="6"/>
        <v>1.5229097949232755</v>
      </c>
    </row>
    <row r="38" spans="1:20">
      <c r="A38" s="34">
        <f t="shared" si="12"/>
        <v>4</v>
      </c>
      <c r="B38" s="34">
        <f t="shared" si="13"/>
        <v>2</v>
      </c>
      <c r="C38" s="34">
        <f t="shared" si="15"/>
        <v>32</v>
      </c>
      <c r="D38" s="34">
        <v>10925</v>
      </c>
      <c r="E38" s="34">
        <f t="shared" si="8"/>
        <v>403</v>
      </c>
      <c r="F38">
        <f t="shared" si="11"/>
        <v>368</v>
      </c>
      <c r="G38" t="str">
        <f t="shared" si="11"/>
        <v>AC</v>
      </c>
      <c r="H38">
        <f t="shared" si="11"/>
        <v>25</v>
      </c>
      <c r="I38">
        <f t="shared" si="11"/>
        <v>6.4</v>
      </c>
      <c r="J38">
        <f t="shared" si="11"/>
        <v>8736</v>
      </c>
      <c r="K38">
        <f t="shared" si="11"/>
        <v>33123</v>
      </c>
      <c r="L38">
        <f t="shared" si="11"/>
        <v>3.79</v>
      </c>
      <c r="M38">
        <f t="shared" si="11"/>
        <v>591</v>
      </c>
      <c r="N38">
        <f t="shared" si="11"/>
        <v>29069</v>
      </c>
      <c r="O38">
        <f t="shared" si="11"/>
        <v>3.33</v>
      </c>
      <c r="P38">
        <f t="shared" si="11"/>
        <v>1163</v>
      </c>
      <c r="Q38">
        <f t="shared" si="11"/>
        <v>518</v>
      </c>
      <c r="R38">
        <f t="shared" si="14"/>
        <v>133</v>
      </c>
      <c r="T38" s="30">
        <f t="shared" si="6"/>
        <v>1.1394612817778389</v>
      </c>
    </row>
    <row r="39" spans="1:20">
      <c r="A39" s="34">
        <f t="shared" si="12"/>
        <v>4</v>
      </c>
      <c r="B39" s="34">
        <f t="shared" si="13"/>
        <v>3</v>
      </c>
      <c r="C39" s="34">
        <f t="shared" si="15"/>
        <v>33</v>
      </c>
      <c r="D39" s="34">
        <v>2</v>
      </c>
      <c r="E39" s="34">
        <f t="shared" si="8"/>
        <v>416</v>
      </c>
      <c r="F39">
        <f t="shared" si="11"/>
        <v>369</v>
      </c>
      <c r="G39" t="str">
        <f t="shared" si="11"/>
        <v>AC</v>
      </c>
      <c r="H39">
        <f t="shared" si="11"/>
        <v>25</v>
      </c>
      <c r="I39">
        <f t="shared" si="11"/>
        <v>7</v>
      </c>
      <c r="J39">
        <f t="shared" si="11"/>
        <v>8736</v>
      </c>
      <c r="K39">
        <f t="shared" si="11"/>
        <v>42165</v>
      </c>
      <c r="L39">
        <f t="shared" si="11"/>
        <v>4.83</v>
      </c>
      <c r="M39">
        <f t="shared" si="11"/>
        <v>691</v>
      </c>
      <c r="N39">
        <f t="shared" si="11"/>
        <v>38168</v>
      </c>
      <c r="O39">
        <f t="shared" si="11"/>
        <v>4.37</v>
      </c>
      <c r="P39">
        <f t="shared" si="11"/>
        <v>1527</v>
      </c>
      <c r="Q39">
        <f t="shared" si="11"/>
        <v>626</v>
      </c>
      <c r="R39">
        <f t="shared" si="14"/>
        <v>175</v>
      </c>
      <c r="T39" s="30">
        <f t="shared" si="6"/>
        <v>1.104721232446028</v>
      </c>
    </row>
    <row r="40" spans="1:20">
      <c r="A40" s="34">
        <f t="shared" si="12"/>
        <v>4</v>
      </c>
      <c r="B40" s="34">
        <f t="shared" si="13"/>
        <v>4</v>
      </c>
      <c r="C40" s="34">
        <f t="shared" si="15"/>
        <v>34</v>
      </c>
      <c r="D40" s="34">
        <v>655</v>
      </c>
      <c r="E40" s="34">
        <f t="shared" si="8"/>
        <v>429</v>
      </c>
      <c r="F40">
        <f t="shared" si="11"/>
        <v>370</v>
      </c>
      <c r="G40" t="str">
        <f t="shared" si="11"/>
        <v>AC</v>
      </c>
      <c r="H40">
        <f t="shared" si="11"/>
        <v>25</v>
      </c>
      <c r="I40">
        <f t="shared" si="11"/>
        <v>6.9</v>
      </c>
      <c r="J40">
        <f t="shared" si="11"/>
        <v>8736</v>
      </c>
      <c r="K40">
        <f t="shared" si="11"/>
        <v>40696</v>
      </c>
      <c r="L40">
        <f t="shared" si="11"/>
        <v>4.66</v>
      </c>
      <c r="M40">
        <f t="shared" si="11"/>
        <v>679</v>
      </c>
      <c r="N40">
        <f t="shared" si="11"/>
        <v>38689</v>
      </c>
      <c r="O40">
        <f t="shared" si="11"/>
        <v>4.43</v>
      </c>
      <c r="P40">
        <f t="shared" si="11"/>
        <v>1548</v>
      </c>
      <c r="Q40">
        <f t="shared" si="11"/>
        <v>646</v>
      </c>
      <c r="R40">
        <f t="shared" si="14"/>
        <v>177</v>
      </c>
      <c r="T40" s="30">
        <f t="shared" si="6"/>
        <v>1.0518752100080127</v>
      </c>
    </row>
    <row r="41" spans="1:20">
      <c r="A41" s="34">
        <f t="shared" si="12"/>
        <v>4</v>
      </c>
      <c r="B41" s="34">
        <f t="shared" si="13"/>
        <v>5</v>
      </c>
      <c r="C41" s="34">
        <f t="shared" si="15"/>
        <v>35</v>
      </c>
      <c r="D41" s="34">
        <v>10889</v>
      </c>
      <c r="E41" s="34">
        <f t="shared" si="8"/>
        <v>442</v>
      </c>
      <c r="F41">
        <f t="shared" si="11"/>
        <v>371</v>
      </c>
      <c r="G41" t="str">
        <f t="shared" si="11"/>
        <v>AC</v>
      </c>
      <c r="H41">
        <f t="shared" si="11"/>
        <v>25</v>
      </c>
      <c r="I41">
        <f t="shared" si="11"/>
        <v>6.4</v>
      </c>
      <c r="J41">
        <f t="shared" si="11"/>
        <v>8736</v>
      </c>
      <c r="K41">
        <f t="shared" si="11"/>
        <v>37200</v>
      </c>
      <c r="L41">
        <f t="shared" si="11"/>
        <v>4.26</v>
      </c>
      <c r="M41">
        <f t="shared" si="11"/>
        <v>666</v>
      </c>
      <c r="N41">
        <f t="shared" si="11"/>
        <v>39081</v>
      </c>
      <c r="O41">
        <f t="shared" si="11"/>
        <v>4.47</v>
      </c>
      <c r="P41">
        <f t="shared" si="11"/>
        <v>1563</v>
      </c>
      <c r="Q41">
        <f t="shared" si="11"/>
        <v>700</v>
      </c>
      <c r="R41">
        <f t="shared" si="14"/>
        <v>179</v>
      </c>
      <c r="T41" s="30">
        <f t="shared" si="6"/>
        <v>0.95186919474936671</v>
      </c>
    </row>
    <row r="42" spans="1:20">
      <c r="A42" s="34">
        <f t="shared" si="12"/>
        <v>4</v>
      </c>
      <c r="B42" s="34">
        <f t="shared" si="13"/>
        <v>6</v>
      </c>
      <c r="C42" s="34">
        <f t="shared" si="15"/>
        <v>36</v>
      </c>
      <c r="D42" s="34">
        <v>1.99</v>
      </c>
      <c r="E42" s="34">
        <f t="shared" si="8"/>
        <v>455</v>
      </c>
      <c r="F42">
        <f t="shared" si="11"/>
        <v>372</v>
      </c>
      <c r="G42" t="str">
        <f t="shared" si="11"/>
        <v>HP</v>
      </c>
      <c r="H42">
        <f t="shared" si="11"/>
        <v>12.5</v>
      </c>
      <c r="I42">
        <f t="shared" si="11"/>
        <v>3.1</v>
      </c>
      <c r="J42">
        <f t="shared" si="11"/>
        <v>4368</v>
      </c>
      <c r="K42">
        <f t="shared" si="11"/>
        <v>-4207</v>
      </c>
      <c r="L42">
        <f t="shared" si="11"/>
        <v>-0.96</v>
      </c>
      <c r="M42">
        <f t="shared" si="11"/>
        <v>-306</v>
      </c>
      <c r="N42">
        <f t="shared" si="11"/>
        <v>9305</v>
      </c>
      <c r="O42">
        <f t="shared" si="11"/>
        <v>2.13</v>
      </c>
      <c r="P42">
        <f t="shared" si="11"/>
        <v>744</v>
      </c>
      <c r="Q42">
        <f t="shared" si="11"/>
        <v>677</v>
      </c>
      <c r="R42">
        <f t="shared" si="14"/>
        <v>170</v>
      </c>
      <c r="T42" s="30">
        <f t="shared" si="6"/>
        <v>-0.45212251477700161</v>
      </c>
    </row>
    <row r="43" spans="1:20">
      <c r="A43" s="34">
        <f t="shared" si="12"/>
        <v>4</v>
      </c>
      <c r="B43" s="34">
        <f t="shared" si="13"/>
        <v>7</v>
      </c>
      <c r="C43" s="34">
        <f t="shared" si="15"/>
        <v>37</v>
      </c>
      <c r="D43" s="34">
        <v>1089</v>
      </c>
      <c r="E43" s="34">
        <f t="shared" si="8"/>
        <v>468</v>
      </c>
      <c r="F43">
        <f t="shared" si="11"/>
        <v>375</v>
      </c>
      <c r="G43" t="str">
        <f t="shared" si="11"/>
        <v>HP</v>
      </c>
      <c r="H43">
        <f t="shared" si="11"/>
        <v>15</v>
      </c>
      <c r="I43">
        <f t="shared" si="11"/>
        <v>3.4</v>
      </c>
      <c r="J43">
        <f t="shared" ref="J43:R67" si="16">VLOOKUP(($E43+J$6),$C$7:$D$1000,2,FALSE)</f>
        <v>4004</v>
      </c>
      <c r="K43">
        <f t="shared" si="16"/>
        <v>7725</v>
      </c>
      <c r="L43">
        <f t="shared" si="16"/>
        <v>1.93</v>
      </c>
      <c r="M43">
        <f t="shared" si="16"/>
        <v>560</v>
      </c>
      <c r="N43">
        <f t="shared" si="16"/>
        <v>12198</v>
      </c>
      <c r="O43">
        <f t="shared" si="16"/>
        <v>3.05</v>
      </c>
      <c r="P43">
        <f t="shared" si="16"/>
        <v>813</v>
      </c>
      <c r="Q43">
        <f t="shared" si="16"/>
        <v>885</v>
      </c>
      <c r="R43">
        <f t="shared" si="16"/>
        <v>203</v>
      </c>
      <c r="T43" s="30">
        <f t="shared" si="6"/>
        <v>0.63330054107230693</v>
      </c>
    </row>
    <row r="44" spans="1:20">
      <c r="A44" s="34">
        <f t="shared" si="12"/>
        <v>4</v>
      </c>
      <c r="B44" s="34">
        <f t="shared" si="13"/>
        <v>8</v>
      </c>
      <c r="C44" s="34">
        <f t="shared" si="15"/>
        <v>38</v>
      </c>
      <c r="D44" s="34">
        <v>653</v>
      </c>
      <c r="E44" s="34">
        <f t="shared" si="8"/>
        <v>481</v>
      </c>
      <c r="F44">
        <f t="shared" ref="F44:O59" si="17">VLOOKUP(($E44+F$6),$C$7:$D$1000,2,FALSE)</f>
        <v>376</v>
      </c>
      <c r="G44" t="str">
        <f t="shared" si="17"/>
        <v>HP</v>
      </c>
      <c r="H44">
        <f t="shared" si="17"/>
        <v>15</v>
      </c>
      <c r="I44">
        <f t="shared" si="17"/>
        <v>1.4</v>
      </c>
      <c r="J44">
        <f t="shared" si="17"/>
        <v>4004</v>
      </c>
      <c r="K44">
        <f t="shared" si="17"/>
        <v>3099</v>
      </c>
      <c r="L44">
        <f t="shared" si="17"/>
        <v>0.77</v>
      </c>
      <c r="M44">
        <f t="shared" si="17"/>
        <v>558</v>
      </c>
      <c r="N44">
        <f t="shared" si="17"/>
        <v>2905</v>
      </c>
      <c r="O44">
        <f t="shared" si="17"/>
        <v>0.73</v>
      </c>
      <c r="P44">
        <f t="shared" si="16"/>
        <v>194</v>
      </c>
      <c r="Q44">
        <f t="shared" si="16"/>
        <v>523</v>
      </c>
      <c r="R44">
        <f t="shared" si="16"/>
        <v>48</v>
      </c>
      <c r="T44" s="30">
        <f t="shared" si="6"/>
        <v>1.0667814113597247</v>
      </c>
    </row>
    <row r="45" spans="1:20">
      <c r="A45" s="34">
        <f t="shared" si="12"/>
        <v>4</v>
      </c>
      <c r="B45" s="34">
        <f t="shared" si="13"/>
        <v>9</v>
      </c>
      <c r="C45" s="34">
        <f t="shared" si="15"/>
        <v>39</v>
      </c>
      <c r="D45" s="34">
        <v>199</v>
      </c>
      <c r="E45" s="34">
        <f t="shared" si="8"/>
        <v>494</v>
      </c>
      <c r="F45">
        <f t="shared" si="17"/>
        <v>377</v>
      </c>
      <c r="G45" t="str">
        <f t="shared" si="17"/>
        <v>HP</v>
      </c>
      <c r="H45">
        <f t="shared" si="17"/>
        <v>7.5</v>
      </c>
      <c r="I45">
        <f t="shared" si="17"/>
        <v>1.4</v>
      </c>
      <c r="J45">
        <f t="shared" si="17"/>
        <v>4004</v>
      </c>
      <c r="K45">
        <f t="shared" si="17"/>
        <v>3232</v>
      </c>
      <c r="L45">
        <f t="shared" si="17"/>
        <v>0.81</v>
      </c>
      <c r="M45">
        <f t="shared" si="17"/>
        <v>561</v>
      </c>
      <c r="N45">
        <f t="shared" si="17"/>
        <v>4677</v>
      </c>
      <c r="O45">
        <f t="shared" si="17"/>
        <v>1.17</v>
      </c>
      <c r="P45">
        <f t="shared" si="16"/>
        <v>624</v>
      </c>
      <c r="Q45">
        <f t="shared" si="16"/>
        <v>812</v>
      </c>
      <c r="R45">
        <f t="shared" si="16"/>
        <v>156</v>
      </c>
      <c r="T45" s="30">
        <f t="shared" si="6"/>
        <v>0.6910412657686551</v>
      </c>
    </row>
    <row r="46" spans="1:20">
      <c r="A46" s="34">
        <f t="shared" si="12"/>
        <v>4</v>
      </c>
      <c r="B46" s="34">
        <f t="shared" si="13"/>
        <v>10</v>
      </c>
      <c r="C46" s="34">
        <f t="shared" si="15"/>
        <v>40</v>
      </c>
      <c r="D46" s="34">
        <v>205</v>
      </c>
      <c r="E46" s="34">
        <f t="shared" si="8"/>
        <v>507</v>
      </c>
      <c r="F46">
        <f t="shared" si="17"/>
        <v>378</v>
      </c>
      <c r="G46" t="str">
        <f t="shared" si="17"/>
        <v>HP</v>
      </c>
      <c r="H46">
        <f t="shared" si="17"/>
        <v>10</v>
      </c>
      <c r="I46">
        <f t="shared" si="17"/>
        <v>3.3</v>
      </c>
      <c r="J46">
        <f t="shared" si="17"/>
        <v>4004</v>
      </c>
      <c r="K46">
        <f t="shared" si="17"/>
        <v>10229</v>
      </c>
      <c r="L46">
        <f t="shared" si="17"/>
        <v>2.5499999999999998</v>
      </c>
      <c r="M46">
        <f t="shared" si="17"/>
        <v>763</v>
      </c>
      <c r="N46">
        <f t="shared" si="17"/>
        <v>7649</v>
      </c>
      <c r="O46">
        <f t="shared" si="17"/>
        <v>1.91</v>
      </c>
      <c r="P46">
        <f t="shared" si="16"/>
        <v>765</v>
      </c>
      <c r="Q46">
        <f t="shared" si="16"/>
        <v>571</v>
      </c>
      <c r="R46">
        <f t="shared" si="16"/>
        <v>191</v>
      </c>
      <c r="T46" s="30">
        <f t="shared" si="6"/>
        <v>1.3372989933324617</v>
      </c>
    </row>
    <row r="47" spans="1:20">
      <c r="A47" s="34">
        <f t="shared" si="12"/>
        <v>5</v>
      </c>
      <c r="B47" s="34">
        <f t="shared" si="13"/>
        <v>1</v>
      </c>
      <c r="C47" s="34">
        <f t="shared" si="15"/>
        <v>41</v>
      </c>
      <c r="D47" s="34" t="s">
        <v>92</v>
      </c>
      <c r="E47" s="34">
        <f t="shared" si="8"/>
        <v>520</v>
      </c>
      <c r="F47">
        <f t="shared" si="17"/>
        <v>379</v>
      </c>
      <c r="G47" t="str">
        <f t="shared" si="17"/>
        <v>HP</v>
      </c>
      <c r="H47">
        <f t="shared" si="17"/>
        <v>5</v>
      </c>
      <c r="I47">
        <f t="shared" si="17"/>
        <v>0.6</v>
      </c>
      <c r="J47">
        <f t="shared" si="17"/>
        <v>4004</v>
      </c>
      <c r="K47">
        <f t="shared" si="17"/>
        <v>1441</v>
      </c>
      <c r="L47">
        <f t="shared" si="17"/>
        <v>0.36</v>
      </c>
      <c r="M47">
        <f t="shared" si="17"/>
        <v>621</v>
      </c>
      <c r="N47">
        <f t="shared" si="17"/>
        <v>2038</v>
      </c>
      <c r="O47">
        <f t="shared" si="17"/>
        <v>0.51</v>
      </c>
      <c r="P47">
        <f t="shared" si="16"/>
        <v>408</v>
      </c>
      <c r="Q47">
        <f t="shared" si="16"/>
        <v>877</v>
      </c>
      <c r="R47">
        <f t="shared" si="16"/>
        <v>102</v>
      </c>
      <c r="T47" s="30">
        <f t="shared" si="6"/>
        <v>0.70706575073601574</v>
      </c>
    </row>
    <row r="48" spans="1:20">
      <c r="A48" s="34">
        <f t="shared" si="12"/>
        <v>5</v>
      </c>
      <c r="B48" s="34">
        <f t="shared" si="13"/>
        <v>2</v>
      </c>
      <c r="C48" s="34">
        <f t="shared" si="15"/>
        <v>42</v>
      </c>
      <c r="D48" s="34">
        <v>15</v>
      </c>
      <c r="E48" s="34">
        <f t="shared" si="8"/>
        <v>533</v>
      </c>
      <c r="F48">
        <f t="shared" si="17"/>
        <v>380</v>
      </c>
      <c r="G48" t="str">
        <f t="shared" si="17"/>
        <v>HP</v>
      </c>
      <c r="H48">
        <f t="shared" si="17"/>
        <v>7.5</v>
      </c>
      <c r="I48">
        <f t="shared" si="17"/>
        <v>1.4</v>
      </c>
      <c r="J48">
        <f t="shared" si="17"/>
        <v>4004</v>
      </c>
      <c r="K48">
        <f t="shared" si="17"/>
        <v>3534</v>
      </c>
      <c r="L48">
        <f t="shared" si="17"/>
        <v>0.88</v>
      </c>
      <c r="M48">
        <f t="shared" si="17"/>
        <v>629</v>
      </c>
      <c r="N48">
        <f t="shared" si="17"/>
        <v>4430</v>
      </c>
      <c r="O48">
        <f t="shared" si="17"/>
        <v>1.1100000000000001</v>
      </c>
      <c r="P48">
        <f t="shared" si="16"/>
        <v>591</v>
      </c>
      <c r="Q48">
        <f t="shared" si="16"/>
        <v>789</v>
      </c>
      <c r="R48">
        <f t="shared" si="16"/>
        <v>148</v>
      </c>
      <c r="T48" s="30">
        <f t="shared" si="6"/>
        <v>0.79774266365688484</v>
      </c>
    </row>
    <row r="49" spans="1:20">
      <c r="A49" s="34">
        <f t="shared" si="12"/>
        <v>5</v>
      </c>
      <c r="B49" s="34">
        <f t="shared" si="13"/>
        <v>3</v>
      </c>
      <c r="C49" s="34">
        <f t="shared" si="15"/>
        <v>43</v>
      </c>
      <c r="D49" s="34">
        <v>2.4</v>
      </c>
      <c r="E49" s="34">
        <f t="shared" si="8"/>
        <v>546</v>
      </c>
      <c r="F49">
        <f t="shared" si="17"/>
        <v>381</v>
      </c>
      <c r="G49" t="str">
        <f t="shared" si="17"/>
        <v>HP</v>
      </c>
      <c r="H49">
        <f t="shared" si="17"/>
        <v>15</v>
      </c>
      <c r="I49">
        <f t="shared" si="17"/>
        <v>2.6</v>
      </c>
      <c r="J49">
        <f t="shared" si="17"/>
        <v>6916</v>
      </c>
      <c r="K49">
        <f t="shared" si="17"/>
        <v>9595</v>
      </c>
      <c r="L49">
        <f t="shared" si="17"/>
        <v>1.39</v>
      </c>
      <c r="M49">
        <f t="shared" si="17"/>
        <v>528</v>
      </c>
      <c r="N49">
        <f t="shared" si="17"/>
        <v>13940</v>
      </c>
      <c r="O49">
        <f t="shared" si="17"/>
        <v>2.02</v>
      </c>
      <c r="P49">
        <f t="shared" si="16"/>
        <v>929</v>
      </c>
      <c r="Q49">
        <f t="shared" si="16"/>
        <v>767</v>
      </c>
      <c r="R49">
        <f t="shared" si="16"/>
        <v>134</v>
      </c>
      <c r="T49" s="30">
        <f t="shared" si="6"/>
        <v>0.68830703012912486</v>
      </c>
    </row>
    <row r="50" spans="1:20">
      <c r="A50" s="34">
        <f t="shared" si="12"/>
        <v>5</v>
      </c>
      <c r="B50" s="34">
        <f t="shared" si="13"/>
        <v>4</v>
      </c>
      <c r="C50" s="34">
        <f t="shared" si="15"/>
        <v>44</v>
      </c>
      <c r="D50" s="34">
        <v>5460</v>
      </c>
      <c r="E50" s="34">
        <f t="shared" si="8"/>
        <v>559</v>
      </c>
      <c r="F50">
        <f t="shared" si="17"/>
        <v>382</v>
      </c>
      <c r="G50" t="str">
        <f t="shared" si="17"/>
        <v>HP</v>
      </c>
      <c r="H50">
        <f t="shared" si="17"/>
        <v>15</v>
      </c>
      <c r="I50">
        <f t="shared" si="17"/>
        <v>2.7</v>
      </c>
      <c r="J50">
        <f t="shared" si="17"/>
        <v>6916</v>
      </c>
      <c r="K50">
        <f t="shared" si="17"/>
        <v>11114</v>
      </c>
      <c r="L50">
        <f t="shared" si="17"/>
        <v>1.61</v>
      </c>
      <c r="M50">
        <f t="shared" si="17"/>
        <v>597</v>
      </c>
      <c r="N50">
        <f t="shared" si="17"/>
        <v>19616</v>
      </c>
      <c r="O50">
        <f t="shared" si="17"/>
        <v>2.84</v>
      </c>
      <c r="P50">
        <f t="shared" si="16"/>
        <v>1308</v>
      </c>
      <c r="Q50">
        <f t="shared" si="16"/>
        <v>1054</v>
      </c>
      <c r="R50">
        <f t="shared" si="16"/>
        <v>189</v>
      </c>
      <c r="T50" s="30">
        <f t="shared" si="6"/>
        <v>0.56657830342577487</v>
      </c>
    </row>
    <row r="51" spans="1:20">
      <c r="A51" s="34">
        <f t="shared" si="12"/>
        <v>5</v>
      </c>
      <c r="B51" s="34">
        <f t="shared" si="13"/>
        <v>5</v>
      </c>
      <c r="C51" s="34">
        <f t="shared" si="15"/>
        <v>45</v>
      </c>
      <c r="D51" s="34">
        <v>8764</v>
      </c>
      <c r="E51" s="34">
        <f t="shared" si="8"/>
        <v>572</v>
      </c>
      <c r="F51">
        <f t="shared" si="17"/>
        <v>383</v>
      </c>
      <c r="G51" t="str">
        <f t="shared" si="17"/>
        <v>HP</v>
      </c>
      <c r="H51">
        <f t="shared" si="17"/>
        <v>15</v>
      </c>
      <c r="I51">
        <f t="shared" si="17"/>
        <v>2.7</v>
      </c>
      <c r="J51">
        <f t="shared" si="17"/>
        <v>6916</v>
      </c>
      <c r="K51">
        <f t="shared" si="17"/>
        <v>9941</v>
      </c>
      <c r="L51">
        <f t="shared" si="17"/>
        <v>1.44</v>
      </c>
      <c r="M51">
        <f t="shared" si="17"/>
        <v>536</v>
      </c>
      <c r="N51">
        <f t="shared" si="17"/>
        <v>12181</v>
      </c>
      <c r="O51">
        <f t="shared" si="17"/>
        <v>1.76</v>
      </c>
      <c r="P51">
        <f t="shared" si="16"/>
        <v>812</v>
      </c>
      <c r="Q51">
        <f t="shared" si="16"/>
        <v>657</v>
      </c>
      <c r="R51">
        <f t="shared" si="16"/>
        <v>117</v>
      </c>
      <c r="T51" s="30">
        <f t="shared" si="6"/>
        <v>0.81610705196617683</v>
      </c>
    </row>
    <row r="52" spans="1:20">
      <c r="A52" s="34">
        <f t="shared" si="12"/>
        <v>5</v>
      </c>
      <c r="B52" s="34">
        <f t="shared" si="13"/>
        <v>6</v>
      </c>
      <c r="C52" s="34">
        <f t="shared" si="15"/>
        <v>46</v>
      </c>
      <c r="D52" s="34">
        <v>1.61</v>
      </c>
      <c r="E52" s="34">
        <f t="shared" si="8"/>
        <v>585</v>
      </c>
      <c r="F52">
        <f t="shared" si="17"/>
        <v>384</v>
      </c>
      <c r="G52" t="str">
        <f t="shared" si="17"/>
        <v>HP</v>
      </c>
      <c r="H52">
        <f t="shared" si="17"/>
        <v>20</v>
      </c>
      <c r="I52">
        <f t="shared" si="17"/>
        <v>2.9</v>
      </c>
      <c r="J52">
        <f t="shared" si="17"/>
        <v>6916</v>
      </c>
      <c r="K52">
        <f t="shared" si="17"/>
        <v>12787</v>
      </c>
      <c r="L52">
        <f t="shared" si="17"/>
        <v>1.85</v>
      </c>
      <c r="M52">
        <f t="shared" si="17"/>
        <v>641</v>
      </c>
      <c r="N52">
        <f t="shared" si="17"/>
        <v>14705</v>
      </c>
      <c r="O52">
        <f t="shared" si="17"/>
        <v>2.13</v>
      </c>
      <c r="P52">
        <f t="shared" si="16"/>
        <v>735</v>
      </c>
      <c r="Q52">
        <f t="shared" si="16"/>
        <v>738</v>
      </c>
      <c r="R52">
        <f t="shared" si="16"/>
        <v>106</v>
      </c>
      <c r="T52" s="30">
        <f t="shared" si="6"/>
        <v>0.8695681740904454</v>
      </c>
    </row>
    <row r="53" spans="1:20">
      <c r="A53" s="34">
        <f t="shared" si="12"/>
        <v>5</v>
      </c>
      <c r="B53" s="34">
        <f t="shared" si="13"/>
        <v>7</v>
      </c>
      <c r="C53" s="34">
        <f t="shared" si="15"/>
        <v>47</v>
      </c>
      <c r="D53" s="34">
        <v>681</v>
      </c>
      <c r="E53" s="34">
        <f t="shared" si="8"/>
        <v>598</v>
      </c>
      <c r="F53">
        <f t="shared" si="17"/>
        <v>385</v>
      </c>
      <c r="G53" t="str">
        <f t="shared" si="17"/>
        <v>HP</v>
      </c>
      <c r="H53">
        <f t="shared" si="17"/>
        <v>15</v>
      </c>
      <c r="I53">
        <f t="shared" si="17"/>
        <v>2.7</v>
      </c>
      <c r="J53">
        <f t="shared" si="17"/>
        <v>6916</v>
      </c>
      <c r="K53">
        <f t="shared" si="17"/>
        <v>10793</v>
      </c>
      <c r="L53">
        <f t="shared" si="17"/>
        <v>1.56</v>
      </c>
      <c r="M53">
        <f t="shared" si="17"/>
        <v>573</v>
      </c>
      <c r="N53">
        <f t="shared" si="17"/>
        <v>16511</v>
      </c>
      <c r="O53">
        <f t="shared" si="17"/>
        <v>2.39</v>
      </c>
      <c r="P53">
        <f t="shared" si="16"/>
        <v>1101</v>
      </c>
      <c r="Q53">
        <f t="shared" si="16"/>
        <v>877</v>
      </c>
      <c r="R53">
        <f t="shared" si="16"/>
        <v>159</v>
      </c>
      <c r="T53" s="30">
        <f t="shared" si="6"/>
        <v>0.65368542183998546</v>
      </c>
    </row>
    <row r="54" spans="1:20">
      <c r="A54" s="34">
        <f t="shared" si="12"/>
        <v>5</v>
      </c>
      <c r="B54" s="34">
        <f t="shared" si="13"/>
        <v>8</v>
      </c>
      <c r="C54" s="34">
        <f t="shared" si="15"/>
        <v>48</v>
      </c>
      <c r="D54" s="34">
        <v>8611</v>
      </c>
      <c r="E54" s="34">
        <f t="shared" si="8"/>
        <v>611</v>
      </c>
      <c r="F54">
        <f t="shared" si="17"/>
        <v>386</v>
      </c>
      <c r="G54" t="str">
        <f t="shared" si="17"/>
        <v>HP</v>
      </c>
      <c r="H54">
        <f t="shared" si="17"/>
        <v>15</v>
      </c>
      <c r="I54">
        <f t="shared" si="17"/>
        <v>2.2000000000000002</v>
      </c>
      <c r="J54">
        <f t="shared" si="17"/>
        <v>6916</v>
      </c>
      <c r="K54">
        <f t="shared" si="17"/>
        <v>9573</v>
      </c>
      <c r="L54">
        <f t="shared" si="17"/>
        <v>1.38</v>
      </c>
      <c r="M54">
        <f t="shared" si="17"/>
        <v>620</v>
      </c>
      <c r="N54">
        <f t="shared" si="17"/>
        <v>10910</v>
      </c>
      <c r="O54">
        <f t="shared" si="17"/>
        <v>1.58</v>
      </c>
      <c r="P54">
        <f t="shared" si="16"/>
        <v>727</v>
      </c>
      <c r="Q54">
        <f t="shared" si="16"/>
        <v>706</v>
      </c>
      <c r="R54">
        <f t="shared" si="16"/>
        <v>105</v>
      </c>
      <c r="T54" s="30">
        <f t="shared" si="6"/>
        <v>0.87745187901008248</v>
      </c>
    </row>
    <row r="55" spans="1:20">
      <c r="A55" s="34">
        <f t="shared" si="12"/>
        <v>5</v>
      </c>
      <c r="B55" s="34">
        <f t="shared" si="13"/>
        <v>9</v>
      </c>
      <c r="C55" s="34">
        <f t="shared" si="15"/>
        <v>49</v>
      </c>
      <c r="D55" s="34">
        <v>1.58</v>
      </c>
      <c r="E55" s="34">
        <f t="shared" si="8"/>
        <v>624</v>
      </c>
      <c r="F55">
        <f t="shared" si="17"/>
        <v>387</v>
      </c>
      <c r="G55" t="str">
        <f t="shared" si="17"/>
        <v>HP</v>
      </c>
      <c r="H55">
        <f t="shared" si="17"/>
        <v>15</v>
      </c>
      <c r="I55">
        <f t="shared" si="17"/>
        <v>2.4</v>
      </c>
      <c r="J55">
        <f t="shared" si="17"/>
        <v>6916</v>
      </c>
      <c r="K55">
        <f t="shared" si="17"/>
        <v>9310</v>
      </c>
      <c r="L55">
        <f t="shared" si="17"/>
        <v>1.35</v>
      </c>
      <c r="M55">
        <f t="shared" si="17"/>
        <v>568</v>
      </c>
      <c r="N55">
        <f t="shared" si="17"/>
        <v>12671</v>
      </c>
      <c r="O55">
        <f t="shared" si="17"/>
        <v>1.83</v>
      </c>
      <c r="P55">
        <f t="shared" si="16"/>
        <v>845</v>
      </c>
      <c r="Q55">
        <f t="shared" si="16"/>
        <v>774</v>
      </c>
      <c r="R55">
        <f t="shared" si="16"/>
        <v>122</v>
      </c>
      <c r="T55" s="30">
        <f t="shared" si="6"/>
        <v>0.73474863862362871</v>
      </c>
    </row>
    <row r="56" spans="1:20">
      <c r="A56" s="34">
        <f t="shared" si="12"/>
        <v>5</v>
      </c>
      <c r="B56" s="34">
        <f t="shared" si="13"/>
        <v>10</v>
      </c>
      <c r="C56" s="34">
        <f t="shared" si="15"/>
        <v>50</v>
      </c>
      <c r="D56" s="34">
        <v>574</v>
      </c>
      <c r="E56" s="34">
        <f t="shared" si="8"/>
        <v>637</v>
      </c>
      <c r="F56">
        <f t="shared" si="17"/>
        <v>388</v>
      </c>
      <c r="G56" t="str">
        <f t="shared" si="17"/>
        <v>HP</v>
      </c>
      <c r="H56">
        <f t="shared" si="17"/>
        <v>15</v>
      </c>
      <c r="I56">
        <f t="shared" si="17"/>
        <v>2.4</v>
      </c>
      <c r="J56">
        <f t="shared" si="17"/>
        <v>6916</v>
      </c>
      <c r="K56">
        <f t="shared" si="17"/>
        <v>10948</v>
      </c>
      <c r="L56">
        <f t="shared" si="17"/>
        <v>1.58</v>
      </c>
      <c r="M56">
        <f t="shared" si="17"/>
        <v>651</v>
      </c>
      <c r="N56">
        <f t="shared" si="17"/>
        <v>11279</v>
      </c>
      <c r="O56">
        <f t="shared" si="17"/>
        <v>1.63</v>
      </c>
      <c r="P56">
        <f t="shared" si="16"/>
        <v>752</v>
      </c>
      <c r="Q56">
        <f t="shared" si="16"/>
        <v>670</v>
      </c>
      <c r="R56">
        <f t="shared" si="16"/>
        <v>109</v>
      </c>
      <c r="T56" s="30">
        <f t="shared" si="6"/>
        <v>0.9706534267222271</v>
      </c>
    </row>
    <row r="57" spans="1:20">
      <c r="A57" s="34">
        <f t="shared" si="12"/>
        <v>6</v>
      </c>
      <c r="B57" s="34">
        <f t="shared" si="13"/>
        <v>1</v>
      </c>
      <c r="C57" s="34">
        <f t="shared" si="15"/>
        <v>51</v>
      </c>
      <c r="D57" s="34">
        <v>669</v>
      </c>
      <c r="E57" s="34">
        <f t="shared" si="8"/>
        <v>650</v>
      </c>
      <c r="F57">
        <f t="shared" si="17"/>
        <v>389</v>
      </c>
      <c r="G57" t="str">
        <f t="shared" si="17"/>
        <v>HP</v>
      </c>
      <c r="H57">
        <f t="shared" si="17"/>
        <v>15</v>
      </c>
      <c r="I57">
        <f t="shared" si="17"/>
        <v>2.5</v>
      </c>
      <c r="J57">
        <f t="shared" si="17"/>
        <v>6916</v>
      </c>
      <c r="K57">
        <f t="shared" si="17"/>
        <v>8645</v>
      </c>
      <c r="L57">
        <f t="shared" si="17"/>
        <v>1.25</v>
      </c>
      <c r="M57">
        <f t="shared" si="17"/>
        <v>501</v>
      </c>
      <c r="N57">
        <f t="shared" si="17"/>
        <v>18732</v>
      </c>
      <c r="O57">
        <f t="shared" si="17"/>
        <v>2.71</v>
      </c>
      <c r="P57">
        <f t="shared" si="16"/>
        <v>1249</v>
      </c>
      <c r="Q57">
        <f t="shared" si="16"/>
        <v>1086</v>
      </c>
      <c r="R57">
        <f t="shared" si="16"/>
        <v>181</v>
      </c>
      <c r="T57" s="30">
        <f t="shared" si="6"/>
        <v>0.46150971599402091</v>
      </c>
    </row>
    <row r="58" spans="1:20">
      <c r="A58" s="34">
        <f t="shared" si="12"/>
        <v>6</v>
      </c>
      <c r="B58" s="34">
        <f t="shared" si="13"/>
        <v>2</v>
      </c>
      <c r="C58" s="34">
        <f t="shared" si="15"/>
        <v>52</v>
      </c>
      <c r="D58" s="34">
        <v>105</v>
      </c>
      <c r="E58" s="34">
        <f t="shared" si="8"/>
        <v>663</v>
      </c>
      <c r="F58">
        <f t="shared" si="17"/>
        <v>407</v>
      </c>
      <c r="G58" t="str">
        <f t="shared" si="17"/>
        <v>AC</v>
      </c>
      <c r="H58">
        <f t="shared" si="17"/>
        <v>7.5</v>
      </c>
      <c r="I58">
        <f t="shared" si="17"/>
        <v>1.4</v>
      </c>
      <c r="J58">
        <f t="shared" si="17"/>
        <v>8736</v>
      </c>
      <c r="K58">
        <f t="shared" si="17"/>
        <v>3918</v>
      </c>
      <c r="L58">
        <f t="shared" si="17"/>
        <v>0.45</v>
      </c>
      <c r="M58">
        <f t="shared" si="17"/>
        <v>324</v>
      </c>
      <c r="N58">
        <f t="shared" si="17"/>
        <v>9853</v>
      </c>
      <c r="O58">
        <f t="shared" si="17"/>
        <v>1.1299999999999999</v>
      </c>
      <c r="P58">
        <f t="shared" si="16"/>
        <v>1314</v>
      </c>
      <c r="Q58">
        <f t="shared" si="16"/>
        <v>815</v>
      </c>
      <c r="R58">
        <f t="shared" si="16"/>
        <v>150</v>
      </c>
      <c r="T58" s="30">
        <f t="shared" si="6"/>
        <v>0.39764538719171827</v>
      </c>
    </row>
    <row r="59" spans="1:20">
      <c r="A59" s="34">
        <f t="shared" si="12"/>
        <v>6</v>
      </c>
      <c r="B59" s="34">
        <f t="shared" si="13"/>
        <v>3</v>
      </c>
      <c r="C59" s="34">
        <f t="shared" si="15"/>
        <v>53</v>
      </c>
      <c r="D59" s="34">
        <v>206</v>
      </c>
      <c r="E59" s="34">
        <f t="shared" si="8"/>
        <v>676</v>
      </c>
      <c r="F59">
        <f t="shared" si="17"/>
        <v>408</v>
      </c>
      <c r="G59" t="str">
        <f t="shared" si="17"/>
        <v>AC</v>
      </c>
      <c r="H59">
        <f t="shared" si="17"/>
        <v>10</v>
      </c>
      <c r="I59">
        <f t="shared" si="17"/>
        <v>1.9</v>
      </c>
      <c r="J59">
        <f t="shared" si="17"/>
        <v>8736</v>
      </c>
      <c r="K59">
        <f t="shared" si="17"/>
        <v>9575</v>
      </c>
      <c r="L59">
        <f t="shared" si="17"/>
        <v>1.1000000000000001</v>
      </c>
      <c r="M59">
        <f t="shared" si="17"/>
        <v>580</v>
      </c>
      <c r="N59">
        <f t="shared" si="17"/>
        <v>9441</v>
      </c>
      <c r="O59">
        <f t="shared" si="17"/>
        <v>1.08</v>
      </c>
      <c r="P59">
        <f t="shared" si="16"/>
        <v>944</v>
      </c>
      <c r="Q59">
        <f t="shared" si="16"/>
        <v>572</v>
      </c>
      <c r="R59">
        <f t="shared" si="16"/>
        <v>108</v>
      </c>
      <c r="T59" s="30">
        <f t="shared" si="6"/>
        <v>1.0141934117148608</v>
      </c>
    </row>
    <row r="60" spans="1:20">
      <c r="A60" s="34">
        <f t="shared" si="12"/>
        <v>6</v>
      </c>
      <c r="B60" s="34">
        <f t="shared" si="13"/>
        <v>4</v>
      </c>
      <c r="C60" s="34">
        <f t="shared" si="15"/>
        <v>54</v>
      </c>
      <c r="D60" s="34" t="s">
        <v>92</v>
      </c>
      <c r="E60" s="34">
        <f t="shared" si="8"/>
        <v>689</v>
      </c>
      <c r="F60">
        <f t="shared" ref="F60:O67" si="18">VLOOKUP(($E60+F$6),$C$7:$D$1000,2,FALSE)</f>
        <v>409</v>
      </c>
      <c r="G60" t="str">
        <f t="shared" si="18"/>
        <v>AC</v>
      </c>
      <c r="H60">
        <f t="shared" si="18"/>
        <v>15</v>
      </c>
      <c r="I60">
        <f t="shared" si="18"/>
        <v>3.4</v>
      </c>
      <c r="J60">
        <f t="shared" si="18"/>
        <v>8736</v>
      </c>
      <c r="K60">
        <f t="shared" si="18"/>
        <v>5949</v>
      </c>
      <c r="L60">
        <f t="shared" si="18"/>
        <v>0.68</v>
      </c>
      <c r="M60">
        <f t="shared" si="18"/>
        <v>201</v>
      </c>
      <c r="N60">
        <f t="shared" si="18"/>
        <v>6465</v>
      </c>
      <c r="O60">
        <f t="shared" si="18"/>
        <v>0.74</v>
      </c>
      <c r="P60">
        <f t="shared" si="16"/>
        <v>431</v>
      </c>
      <c r="Q60">
        <f t="shared" si="16"/>
        <v>218</v>
      </c>
      <c r="R60">
        <f t="shared" si="16"/>
        <v>49</v>
      </c>
      <c r="T60" s="30">
        <f t="shared" si="6"/>
        <v>0.92018561484918793</v>
      </c>
    </row>
    <row r="61" spans="1:20">
      <c r="A61" s="34">
        <f t="shared" si="12"/>
        <v>6</v>
      </c>
      <c r="B61" s="34">
        <f t="shared" si="13"/>
        <v>5</v>
      </c>
      <c r="C61" s="34">
        <f t="shared" si="15"/>
        <v>55</v>
      </c>
      <c r="D61" s="34">
        <v>10</v>
      </c>
      <c r="E61" s="34">
        <f t="shared" si="8"/>
        <v>702</v>
      </c>
      <c r="F61">
        <f t="shared" si="18"/>
        <v>410</v>
      </c>
      <c r="G61" t="str">
        <f t="shared" si="18"/>
        <v>AC</v>
      </c>
      <c r="H61">
        <f t="shared" si="18"/>
        <v>25</v>
      </c>
      <c r="I61">
        <f t="shared" si="18"/>
        <v>4</v>
      </c>
      <c r="J61">
        <f t="shared" si="18"/>
        <v>8736</v>
      </c>
      <c r="K61">
        <f t="shared" si="18"/>
        <v>32432</v>
      </c>
      <c r="L61">
        <f t="shared" si="18"/>
        <v>3.71</v>
      </c>
      <c r="M61">
        <f t="shared" si="18"/>
        <v>929</v>
      </c>
      <c r="N61">
        <f t="shared" si="18"/>
        <v>30264</v>
      </c>
      <c r="O61">
        <f t="shared" si="18"/>
        <v>3.46</v>
      </c>
      <c r="P61">
        <f t="shared" si="16"/>
        <v>1211</v>
      </c>
      <c r="Q61">
        <f t="shared" si="16"/>
        <v>867</v>
      </c>
      <c r="R61">
        <f t="shared" si="16"/>
        <v>139</v>
      </c>
      <c r="T61" s="30">
        <f t="shared" si="6"/>
        <v>1.0716362675125561</v>
      </c>
    </row>
    <row r="62" spans="1:20">
      <c r="A62" s="34">
        <f t="shared" si="12"/>
        <v>6</v>
      </c>
      <c r="B62" s="34">
        <f t="shared" si="13"/>
        <v>6</v>
      </c>
      <c r="C62" s="34">
        <f t="shared" si="15"/>
        <v>56</v>
      </c>
      <c r="D62" s="34">
        <v>2.8</v>
      </c>
      <c r="E62" s="34">
        <f t="shared" si="8"/>
        <v>715</v>
      </c>
      <c r="F62">
        <f t="shared" si="18"/>
        <v>411</v>
      </c>
      <c r="G62" t="str">
        <f t="shared" si="18"/>
        <v>AC</v>
      </c>
      <c r="H62">
        <f t="shared" si="18"/>
        <v>25</v>
      </c>
      <c r="I62">
        <f t="shared" si="18"/>
        <v>5.9</v>
      </c>
      <c r="J62">
        <f t="shared" si="18"/>
        <v>8736</v>
      </c>
      <c r="K62">
        <f t="shared" si="18"/>
        <v>17633</v>
      </c>
      <c r="L62">
        <f t="shared" si="18"/>
        <v>2.02</v>
      </c>
      <c r="M62">
        <f t="shared" si="18"/>
        <v>341</v>
      </c>
      <c r="N62">
        <f t="shared" si="18"/>
        <v>21681</v>
      </c>
      <c r="O62">
        <f t="shared" si="18"/>
        <v>2.48</v>
      </c>
      <c r="P62">
        <f t="shared" si="16"/>
        <v>867</v>
      </c>
      <c r="Q62">
        <f t="shared" si="16"/>
        <v>419</v>
      </c>
      <c r="R62">
        <f t="shared" si="16"/>
        <v>99</v>
      </c>
      <c r="T62" s="30">
        <f t="shared" si="6"/>
        <v>0.81329274479959413</v>
      </c>
    </row>
    <row r="63" spans="1:20">
      <c r="A63" s="34">
        <f t="shared" si="12"/>
        <v>6</v>
      </c>
      <c r="B63" s="34">
        <f t="shared" si="13"/>
        <v>7</v>
      </c>
      <c r="C63" s="34">
        <f t="shared" si="15"/>
        <v>57</v>
      </c>
      <c r="D63" s="34">
        <v>5460</v>
      </c>
      <c r="E63" s="34">
        <f t="shared" si="8"/>
        <v>728</v>
      </c>
      <c r="F63">
        <f t="shared" si="18"/>
        <v>423</v>
      </c>
      <c r="G63" t="str">
        <f t="shared" si="18"/>
        <v>AC</v>
      </c>
      <c r="H63">
        <f t="shared" si="18"/>
        <v>10</v>
      </c>
      <c r="I63">
        <f t="shared" si="18"/>
        <v>2.6</v>
      </c>
      <c r="J63">
        <f t="shared" si="18"/>
        <v>4420</v>
      </c>
      <c r="K63">
        <f t="shared" si="18"/>
        <v>7590</v>
      </c>
      <c r="L63">
        <f t="shared" si="18"/>
        <v>1.72</v>
      </c>
      <c r="M63">
        <f t="shared" si="18"/>
        <v>650</v>
      </c>
      <c r="N63">
        <f t="shared" si="18"/>
        <v>7592</v>
      </c>
      <c r="O63">
        <f t="shared" si="18"/>
        <v>1.72</v>
      </c>
      <c r="P63">
        <f t="shared" si="16"/>
        <v>759</v>
      </c>
      <c r="Q63">
        <f t="shared" si="16"/>
        <v>650</v>
      </c>
      <c r="R63">
        <f t="shared" si="16"/>
        <v>172</v>
      </c>
      <c r="T63" s="30">
        <f t="shared" si="6"/>
        <v>0.9997365648050579</v>
      </c>
    </row>
    <row r="64" spans="1:20">
      <c r="A64" s="34">
        <f t="shared" si="12"/>
        <v>6</v>
      </c>
      <c r="B64" s="34">
        <f t="shared" si="13"/>
        <v>8</v>
      </c>
      <c r="C64" s="34">
        <f t="shared" si="15"/>
        <v>58</v>
      </c>
      <c r="D64" s="34">
        <v>10014</v>
      </c>
      <c r="E64" s="34">
        <f t="shared" si="8"/>
        <v>741</v>
      </c>
      <c r="F64">
        <f t="shared" si="18"/>
        <v>424</v>
      </c>
      <c r="G64" t="str">
        <f t="shared" si="18"/>
        <v>AC</v>
      </c>
      <c r="H64">
        <f t="shared" si="18"/>
        <v>10</v>
      </c>
      <c r="I64">
        <f t="shared" si="18"/>
        <v>2.4</v>
      </c>
      <c r="J64">
        <f t="shared" si="18"/>
        <v>4420</v>
      </c>
      <c r="K64">
        <f t="shared" si="18"/>
        <v>5848</v>
      </c>
      <c r="L64">
        <f t="shared" si="18"/>
        <v>1.32</v>
      </c>
      <c r="M64">
        <f t="shared" si="18"/>
        <v>561</v>
      </c>
      <c r="N64">
        <f t="shared" si="18"/>
        <v>7768</v>
      </c>
      <c r="O64">
        <f t="shared" si="18"/>
        <v>1.76</v>
      </c>
      <c r="P64">
        <f t="shared" si="16"/>
        <v>777</v>
      </c>
      <c r="Q64">
        <f t="shared" si="16"/>
        <v>745</v>
      </c>
      <c r="R64">
        <f t="shared" si="16"/>
        <v>176</v>
      </c>
      <c r="T64" s="30">
        <f t="shared" si="6"/>
        <v>0.75283213182286302</v>
      </c>
    </row>
    <row r="65" spans="1:21">
      <c r="A65" s="34">
        <f t="shared" si="12"/>
        <v>6</v>
      </c>
      <c r="B65" s="34">
        <f t="shared" si="13"/>
        <v>9</v>
      </c>
      <c r="C65" s="34">
        <f t="shared" si="15"/>
        <v>59</v>
      </c>
      <c r="D65" s="34">
        <v>1.83</v>
      </c>
      <c r="E65" s="34">
        <f t="shared" si="8"/>
        <v>754</v>
      </c>
      <c r="F65">
        <f t="shared" si="18"/>
        <v>425</v>
      </c>
      <c r="G65" t="str">
        <f t="shared" si="18"/>
        <v>AC</v>
      </c>
      <c r="H65">
        <f t="shared" si="18"/>
        <v>10</v>
      </c>
      <c r="I65">
        <f t="shared" si="18"/>
        <v>3</v>
      </c>
      <c r="J65">
        <f t="shared" si="18"/>
        <v>4420</v>
      </c>
      <c r="K65">
        <f t="shared" si="18"/>
        <v>9403</v>
      </c>
      <c r="L65">
        <f t="shared" si="18"/>
        <v>2.13</v>
      </c>
      <c r="M65">
        <f t="shared" si="18"/>
        <v>704</v>
      </c>
      <c r="N65">
        <f t="shared" si="18"/>
        <v>9205</v>
      </c>
      <c r="O65">
        <f t="shared" si="18"/>
        <v>2.08</v>
      </c>
      <c r="P65">
        <f t="shared" si="16"/>
        <v>920</v>
      </c>
      <c r="Q65">
        <f t="shared" si="16"/>
        <v>689</v>
      </c>
      <c r="R65">
        <f t="shared" si="16"/>
        <v>208</v>
      </c>
      <c r="T65" s="30">
        <f t="shared" si="6"/>
        <v>1.0215100488864748</v>
      </c>
    </row>
    <row r="66" spans="1:21">
      <c r="A66" s="34">
        <f t="shared" si="12"/>
        <v>6</v>
      </c>
      <c r="B66" s="34">
        <f t="shared" si="13"/>
        <v>10</v>
      </c>
      <c r="C66" s="34">
        <f t="shared" si="15"/>
        <v>60</v>
      </c>
      <c r="D66" s="34">
        <v>648</v>
      </c>
      <c r="E66" s="34">
        <f t="shared" si="8"/>
        <v>767</v>
      </c>
      <c r="F66">
        <f t="shared" si="18"/>
        <v>426</v>
      </c>
      <c r="G66" t="str">
        <f t="shared" si="18"/>
        <v>AC</v>
      </c>
      <c r="H66">
        <f t="shared" si="18"/>
        <v>10</v>
      </c>
      <c r="I66">
        <f t="shared" si="18"/>
        <v>2.7</v>
      </c>
      <c r="J66">
        <f t="shared" si="18"/>
        <v>4420</v>
      </c>
      <c r="K66">
        <f t="shared" si="18"/>
        <v>7728</v>
      </c>
      <c r="L66">
        <f t="shared" si="18"/>
        <v>1.75</v>
      </c>
      <c r="M66">
        <f t="shared" si="18"/>
        <v>640</v>
      </c>
      <c r="N66">
        <f t="shared" si="18"/>
        <v>7960</v>
      </c>
      <c r="O66">
        <f t="shared" si="18"/>
        <v>1.8</v>
      </c>
      <c r="P66">
        <f t="shared" si="16"/>
        <v>796</v>
      </c>
      <c r="Q66">
        <f t="shared" si="16"/>
        <v>659</v>
      </c>
      <c r="R66">
        <f t="shared" si="16"/>
        <v>180</v>
      </c>
      <c r="T66" s="30">
        <f t="shared" si="6"/>
        <v>0.97085427135678393</v>
      </c>
    </row>
    <row r="67" spans="1:21">
      <c r="A67" s="34">
        <f t="shared" si="12"/>
        <v>7</v>
      </c>
      <c r="B67" s="34">
        <f t="shared" si="13"/>
        <v>1</v>
      </c>
      <c r="C67" s="34">
        <f t="shared" si="15"/>
        <v>61</v>
      </c>
      <c r="D67" s="34">
        <v>10014</v>
      </c>
      <c r="E67" s="34">
        <f t="shared" si="8"/>
        <v>780</v>
      </c>
      <c r="F67">
        <f t="shared" si="18"/>
        <v>427</v>
      </c>
      <c r="G67" t="str">
        <f t="shared" si="18"/>
        <v>AC</v>
      </c>
      <c r="H67">
        <f t="shared" si="18"/>
        <v>10</v>
      </c>
      <c r="I67">
        <f t="shared" si="18"/>
        <v>3</v>
      </c>
      <c r="J67">
        <f t="shared" si="18"/>
        <v>4420</v>
      </c>
      <c r="K67">
        <f t="shared" si="18"/>
        <v>9515</v>
      </c>
      <c r="L67">
        <f t="shared" si="18"/>
        <v>2.15</v>
      </c>
      <c r="M67">
        <f t="shared" si="18"/>
        <v>708</v>
      </c>
      <c r="N67">
        <f t="shared" si="18"/>
        <v>9867</v>
      </c>
      <c r="O67">
        <f t="shared" si="18"/>
        <v>2.23</v>
      </c>
      <c r="P67">
        <f t="shared" si="16"/>
        <v>987</v>
      </c>
      <c r="Q67">
        <f t="shared" si="16"/>
        <v>735</v>
      </c>
      <c r="R67">
        <f t="shared" si="16"/>
        <v>223</v>
      </c>
      <c r="T67" s="30">
        <f t="shared" si="6"/>
        <v>0.96432552954292083</v>
      </c>
    </row>
    <row r="68" spans="1:21">
      <c r="A68" s="34">
        <f t="shared" si="12"/>
        <v>7</v>
      </c>
      <c r="B68" s="34">
        <f t="shared" si="13"/>
        <v>2</v>
      </c>
      <c r="C68" s="34">
        <f t="shared" si="15"/>
        <v>62</v>
      </c>
      <c r="D68" s="34">
        <v>1.83</v>
      </c>
      <c r="E68" s="34">
        <f t="shared" si="8"/>
        <v>793</v>
      </c>
    </row>
    <row r="69" spans="1:21">
      <c r="A69" s="34">
        <f t="shared" si="12"/>
        <v>7</v>
      </c>
      <c r="B69" s="34">
        <f t="shared" si="13"/>
        <v>3</v>
      </c>
      <c r="C69" s="34">
        <f t="shared" si="15"/>
        <v>63</v>
      </c>
      <c r="D69" s="34">
        <v>1001</v>
      </c>
      <c r="E69" s="34">
        <f t="shared" si="8"/>
        <v>806</v>
      </c>
      <c r="H69" s="5"/>
    </row>
    <row r="70" spans="1:21">
      <c r="A70" s="34">
        <f t="shared" si="12"/>
        <v>7</v>
      </c>
      <c r="B70" s="34">
        <f t="shared" si="13"/>
        <v>4</v>
      </c>
      <c r="C70" s="34">
        <f t="shared" si="15"/>
        <v>64</v>
      </c>
      <c r="D70" s="34">
        <v>648</v>
      </c>
      <c r="E70" s="34">
        <f t="shared" si="8"/>
        <v>819</v>
      </c>
      <c r="H70" s="5"/>
      <c r="T70" s="32">
        <f>SUMPRODUCT(T7:T67,N7:N67)/SUM(N7:N67)</f>
        <v>0.91120335799262542</v>
      </c>
      <c r="U70" t="s">
        <v>100</v>
      </c>
    </row>
    <row r="71" spans="1:21">
      <c r="A71" s="34">
        <f t="shared" si="12"/>
        <v>7</v>
      </c>
      <c r="B71" s="34">
        <f t="shared" si="13"/>
        <v>5</v>
      </c>
      <c r="C71" s="34">
        <f t="shared" si="15"/>
        <v>65</v>
      </c>
      <c r="D71" s="34">
        <v>183</v>
      </c>
      <c r="E71" s="34">
        <f t="shared" si="8"/>
        <v>832</v>
      </c>
      <c r="H71" s="5"/>
    </row>
    <row r="72" spans="1:21">
      <c r="A72" s="34">
        <f t="shared" si="12"/>
        <v>7</v>
      </c>
      <c r="B72" s="34">
        <f t="shared" si="13"/>
        <v>6</v>
      </c>
      <c r="C72" s="34">
        <f t="shared" si="15"/>
        <v>66</v>
      </c>
      <c r="D72" s="34">
        <v>207</v>
      </c>
      <c r="E72" s="34">
        <f t="shared" si="8"/>
        <v>845</v>
      </c>
      <c r="H72" s="5"/>
    </row>
    <row r="73" spans="1:21">
      <c r="A73" s="34">
        <f t="shared" si="12"/>
        <v>7</v>
      </c>
      <c r="B73" s="34">
        <f t="shared" si="13"/>
        <v>7</v>
      </c>
      <c r="C73" s="34">
        <f t="shared" si="15"/>
        <v>67</v>
      </c>
      <c r="D73" s="34" t="s">
        <v>92</v>
      </c>
      <c r="E73" s="34">
        <f t="shared" ref="E73:E136" si="19">E72+13</f>
        <v>858</v>
      </c>
    </row>
    <row r="74" spans="1:21">
      <c r="A74" s="34">
        <f t="shared" si="12"/>
        <v>7</v>
      </c>
      <c r="B74" s="34">
        <f t="shared" si="13"/>
        <v>8</v>
      </c>
      <c r="C74" s="34">
        <f t="shared" si="15"/>
        <v>68</v>
      </c>
      <c r="D74" s="34">
        <v>25</v>
      </c>
      <c r="E74" s="34">
        <f t="shared" si="19"/>
        <v>871</v>
      </c>
    </row>
    <row r="75" spans="1:21">
      <c r="A75" s="34">
        <f t="shared" si="12"/>
        <v>7</v>
      </c>
      <c r="B75" s="34">
        <f t="shared" si="13"/>
        <v>9</v>
      </c>
      <c r="C75" s="34">
        <f t="shared" si="15"/>
        <v>69</v>
      </c>
      <c r="D75" s="34">
        <v>8.9</v>
      </c>
      <c r="E75" s="34">
        <f t="shared" si="19"/>
        <v>884</v>
      </c>
    </row>
    <row r="76" spans="1:21">
      <c r="A76" s="34">
        <f t="shared" si="12"/>
        <v>7</v>
      </c>
      <c r="B76" s="34">
        <f t="shared" si="13"/>
        <v>10</v>
      </c>
      <c r="C76" s="34">
        <f t="shared" si="15"/>
        <v>70</v>
      </c>
      <c r="D76" s="34">
        <v>5460</v>
      </c>
      <c r="E76" s="34">
        <f t="shared" si="19"/>
        <v>897</v>
      </c>
    </row>
    <row r="77" spans="1:21">
      <c r="A77" s="34">
        <f t="shared" si="12"/>
        <v>8</v>
      </c>
      <c r="B77" s="34">
        <f t="shared" si="13"/>
        <v>1</v>
      </c>
      <c r="C77" s="34">
        <f t="shared" si="15"/>
        <v>71</v>
      </c>
      <c r="D77" s="34">
        <v>30755</v>
      </c>
      <c r="E77" s="34">
        <f t="shared" si="19"/>
        <v>910</v>
      </c>
    </row>
    <row r="78" spans="1:21">
      <c r="A78" s="34">
        <f t="shared" si="12"/>
        <v>8</v>
      </c>
      <c r="B78" s="34">
        <f t="shared" si="13"/>
        <v>2</v>
      </c>
      <c r="C78" s="34">
        <f t="shared" si="15"/>
        <v>72</v>
      </c>
      <c r="D78" s="34">
        <v>5.63</v>
      </c>
      <c r="E78" s="34">
        <f t="shared" si="19"/>
        <v>923</v>
      </c>
    </row>
    <row r="79" spans="1:21">
      <c r="A79" s="34">
        <f t="shared" si="12"/>
        <v>8</v>
      </c>
      <c r="B79" s="34">
        <f t="shared" si="13"/>
        <v>3</v>
      </c>
      <c r="C79" s="34">
        <f t="shared" si="15"/>
        <v>73</v>
      </c>
      <c r="D79" s="34">
        <v>635</v>
      </c>
      <c r="E79" s="34">
        <f t="shared" si="19"/>
        <v>936</v>
      </c>
    </row>
    <row r="80" spans="1:21">
      <c r="A80" s="34">
        <f t="shared" si="12"/>
        <v>8</v>
      </c>
      <c r="B80" s="34">
        <f t="shared" si="13"/>
        <v>4</v>
      </c>
      <c r="C80" s="34">
        <f t="shared" si="15"/>
        <v>74</v>
      </c>
      <c r="D80" s="34">
        <v>36876</v>
      </c>
      <c r="E80" s="34">
        <f t="shared" si="19"/>
        <v>949</v>
      </c>
    </row>
    <row r="81" spans="1:5">
      <c r="A81" s="34">
        <f t="shared" si="12"/>
        <v>8</v>
      </c>
      <c r="B81" s="34">
        <f t="shared" si="13"/>
        <v>5</v>
      </c>
      <c r="C81" s="34">
        <f t="shared" si="15"/>
        <v>75</v>
      </c>
      <c r="D81" s="34">
        <v>6.75</v>
      </c>
      <c r="E81" s="34">
        <f t="shared" si="19"/>
        <v>962</v>
      </c>
    </row>
    <row r="82" spans="1:5">
      <c r="A82" s="34">
        <f t="shared" ref="A82:A145" si="20">A72+1</f>
        <v>8</v>
      </c>
      <c r="B82" s="34">
        <f t="shared" ref="B82:B145" si="21">B72</f>
        <v>6</v>
      </c>
      <c r="C82" s="34">
        <f t="shared" si="15"/>
        <v>76</v>
      </c>
      <c r="D82" s="34">
        <v>1475</v>
      </c>
      <c r="E82" s="34">
        <f t="shared" si="19"/>
        <v>975</v>
      </c>
    </row>
    <row r="83" spans="1:5">
      <c r="A83" s="34">
        <f t="shared" si="20"/>
        <v>8</v>
      </c>
      <c r="B83" s="34">
        <f t="shared" si="21"/>
        <v>7</v>
      </c>
      <c r="C83" s="34">
        <f t="shared" si="15"/>
        <v>77</v>
      </c>
      <c r="D83" s="34">
        <v>762</v>
      </c>
      <c r="E83" s="34">
        <f t="shared" si="19"/>
        <v>988</v>
      </c>
    </row>
    <row r="84" spans="1:5">
      <c r="A84" s="34">
        <f t="shared" si="20"/>
        <v>8</v>
      </c>
      <c r="B84" s="34">
        <f t="shared" si="21"/>
        <v>8</v>
      </c>
      <c r="C84" s="34">
        <f t="shared" si="15"/>
        <v>78</v>
      </c>
      <c r="D84" s="34">
        <v>270</v>
      </c>
      <c r="E84" s="34">
        <f t="shared" si="19"/>
        <v>1001</v>
      </c>
    </row>
    <row r="85" spans="1:5">
      <c r="A85" s="34">
        <f t="shared" si="20"/>
        <v>8</v>
      </c>
      <c r="B85" s="34">
        <f t="shared" si="21"/>
        <v>9</v>
      </c>
      <c r="C85" s="34">
        <f t="shared" si="15"/>
        <v>79</v>
      </c>
      <c r="D85" s="34">
        <v>209</v>
      </c>
      <c r="E85" s="34">
        <f t="shared" si="19"/>
        <v>1014</v>
      </c>
    </row>
    <row r="86" spans="1:5">
      <c r="A86" s="34">
        <f t="shared" si="20"/>
        <v>8</v>
      </c>
      <c r="B86" s="34">
        <f t="shared" si="21"/>
        <v>10</v>
      </c>
      <c r="C86" s="34">
        <f t="shared" si="15"/>
        <v>80</v>
      </c>
      <c r="D86" s="34" t="s">
        <v>92</v>
      </c>
      <c r="E86" s="34">
        <f t="shared" si="19"/>
        <v>1027</v>
      </c>
    </row>
    <row r="87" spans="1:5">
      <c r="A87" s="34">
        <f t="shared" si="20"/>
        <v>9</v>
      </c>
      <c r="B87" s="34">
        <f t="shared" si="21"/>
        <v>1</v>
      </c>
      <c r="C87" s="34">
        <f t="shared" si="15"/>
        <v>81</v>
      </c>
      <c r="D87" s="34">
        <v>5</v>
      </c>
      <c r="E87" s="34">
        <f t="shared" si="19"/>
        <v>1040</v>
      </c>
    </row>
    <row r="88" spans="1:5">
      <c r="A88" s="34">
        <f t="shared" si="20"/>
        <v>9</v>
      </c>
      <c r="B88" s="34">
        <f t="shared" si="21"/>
        <v>2</v>
      </c>
      <c r="C88" s="34">
        <f t="shared" si="15"/>
        <v>82</v>
      </c>
      <c r="D88" s="34">
        <v>0.9</v>
      </c>
      <c r="E88" s="34">
        <f t="shared" si="19"/>
        <v>1053</v>
      </c>
    </row>
    <row r="89" spans="1:5">
      <c r="A89" s="34">
        <f t="shared" si="20"/>
        <v>9</v>
      </c>
      <c r="B89" s="34">
        <f t="shared" si="21"/>
        <v>3</v>
      </c>
      <c r="C89" s="34">
        <f t="shared" ref="C89:C152" si="22">C88+1</f>
        <v>83</v>
      </c>
      <c r="D89" s="34">
        <v>5460</v>
      </c>
      <c r="E89" s="34">
        <f t="shared" si="19"/>
        <v>1066</v>
      </c>
    </row>
    <row r="90" spans="1:5">
      <c r="A90" s="34">
        <f t="shared" si="20"/>
        <v>9</v>
      </c>
      <c r="B90" s="34">
        <f t="shared" si="21"/>
        <v>4</v>
      </c>
      <c r="C90" s="34">
        <f t="shared" si="22"/>
        <v>84</v>
      </c>
      <c r="D90" s="34">
        <v>2006</v>
      </c>
      <c r="E90" s="34">
        <f t="shared" si="19"/>
        <v>1079</v>
      </c>
    </row>
    <row r="91" spans="1:5">
      <c r="A91" s="34">
        <f t="shared" si="20"/>
        <v>9</v>
      </c>
      <c r="B91" s="34">
        <f t="shared" si="21"/>
        <v>5</v>
      </c>
      <c r="C91" s="34">
        <f t="shared" si="22"/>
        <v>85</v>
      </c>
      <c r="D91" s="34">
        <v>0.37</v>
      </c>
      <c r="E91" s="34">
        <f t="shared" si="19"/>
        <v>1092</v>
      </c>
    </row>
    <row r="92" spans="1:5">
      <c r="A92" s="34">
        <f t="shared" si="20"/>
        <v>9</v>
      </c>
      <c r="B92" s="34">
        <f t="shared" si="21"/>
        <v>6</v>
      </c>
      <c r="C92" s="34">
        <f t="shared" si="22"/>
        <v>86</v>
      </c>
      <c r="D92" s="34">
        <v>393</v>
      </c>
      <c r="E92" s="34">
        <f t="shared" si="19"/>
        <v>1105</v>
      </c>
    </row>
    <row r="93" spans="1:5">
      <c r="A93" s="34">
        <f t="shared" si="20"/>
        <v>9</v>
      </c>
      <c r="B93" s="34">
        <f t="shared" si="21"/>
        <v>7</v>
      </c>
      <c r="C93" s="34">
        <f t="shared" si="22"/>
        <v>87</v>
      </c>
      <c r="D93" s="34">
        <v>4957</v>
      </c>
      <c r="E93" s="34">
        <f t="shared" si="19"/>
        <v>1118</v>
      </c>
    </row>
    <row r="94" spans="1:5">
      <c r="A94" s="34">
        <f t="shared" si="20"/>
        <v>9</v>
      </c>
      <c r="B94" s="34">
        <f t="shared" si="21"/>
        <v>8</v>
      </c>
      <c r="C94" s="34">
        <f t="shared" si="22"/>
        <v>88</v>
      </c>
      <c r="D94" s="34">
        <v>0.91</v>
      </c>
      <c r="E94" s="34">
        <f t="shared" si="19"/>
        <v>1131</v>
      </c>
    </row>
    <row r="95" spans="1:5">
      <c r="A95" s="34">
        <f t="shared" si="20"/>
        <v>9</v>
      </c>
      <c r="B95" s="34">
        <f t="shared" si="21"/>
        <v>9</v>
      </c>
      <c r="C95" s="34">
        <f t="shared" si="22"/>
        <v>89</v>
      </c>
      <c r="D95" s="34">
        <v>991</v>
      </c>
      <c r="E95" s="34">
        <f t="shared" si="19"/>
        <v>1144</v>
      </c>
    </row>
    <row r="96" spans="1:5">
      <c r="A96" s="34">
        <f t="shared" si="20"/>
        <v>9</v>
      </c>
      <c r="B96" s="34">
        <f t="shared" si="21"/>
        <v>10</v>
      </c>
      <c r="C96" s="34">
        <f t="shared" si="22"/>
        <v>90</v>
      </c>
      <c r="D96" s="34">
        <v>972</v>
      </c>
      <c r="E96" s="34">
        <f t="shared" si="19"/>
        <v>1157</v>
      </c>
    </row>
    <row r="97" spans="1:5">
      <c r="A97" s="34">
        <f t="shared" si="20"/>
        <v>10</v>
      </c>
      <c r="B97" s="34">
        <f t="shared" si="21"/>
        <v>1</v>
      </c>
      <c r="C97" s="34">
        <f t="shared" si="22"/>
        <v>91</v>
      </c>
      <c r="D97" s="34">
        <v>182</v>
      </c>
      <c r="E97" s="34">
        <f t="shared" si="19"/>
        <v>1170</v>
      </c>
    </row>
    <row r="98" spans="1:5">
      <c r="A98" s="34">
        <f t="shared" si="20"/>
        <v>10</v>
      </c>
      <c r="B98" s="34">
        <f t="shared" si="21"/>
        <v>2</v>
      </c>
      <c r="C98" s="34">
        <f t="shared" si="22"/>
        <v>92</v>
      </c>
      <c r="D98" s="34">
        <v>210</v>
      </c>
      <c r="E98" s="34">
        <f t="shared" si="19"/>
        <v>1183</v>
      </c>
    </row>
    <row r="99" spans="1:5">
      <c r="A99" s="34">
        <f t="shared" si="20"/>
        <v>10</v>
      </c>
      <c r="B99" s="34">
        <f t="shared" si="21"/>
        <v>3</v>
      </c>
      <c r="C99" s="34">
        <f t="shared" si="22"/>
        <v>93</v>
      </c>
      <c r="D99" s="34" t="s">
        <v>92</v>
      </c>
      <c r="E99" s="34">
        <f t="shared" si="19"/>
        <v>1196</v>
      </c>
    </row>
    <row r="100" spans="1:5">
      <c r="A100" s="34">
        <f t="shared" si="20"/>
        <v>10</v>
      </c>
      <c r="B100" s="34">
        <f t="shared" si="21"/>
        <v>4</v>
      </c>
      <c r="C100" s="34">
        <f t="shared" si="22"/>
        <v>94</v>
      </c>
      <c r="D100" s="34">
        <v>25</v>
      </c>
      <c r="E100" s="34">
        <f t="shared" si="19"/>
        <v>1209</v>
      </c>
    </row>
    <row r="101" spans="1:5">
      <c r="A101" s="34">
        <f t="shared" si="20"/>
        <v>10</v>
      </c>
      <c r="B101" s="34">
        <f t="shared" si="21"/>
        <v>5</v>
      </c>
      <c r="C101" s="34">
        <f t="shared" si="22"/>
        <v>95</v>
      </c>
      <c r="D101" s="34">
        <v>11.3</v>
      </c>
      <c r="E101" s="34">
        <f t="shared" si="19"/>
        <v>1222</v>
      </c>
    </row>
    <row r="102" spans="1:5">
      <c r="A102" s="34">
        <f t="shared" si="20"/>
        <v>10</v>
      </c>
      <c r="B102" s="34">
        <f t="shared" si="21"/>
        <v>6</v>
      </c>
      <c r="C102" s="34">
        <f t="shared" si="22"/>
        <v>96</v>
      </c>
      <c r="D102" s="34">
        <v>5460</v>
      </c>
      <c r="E102" s="34">
        <f t="shared" si="19"/>
        <v>1235</v>
      </c>
    </row>
    <row r="103" spans="1:5">
      <c r="A103" s="34">
        <f t="shared" si="20"/>
        <v>10</v>
      </c>
      <c r="B103" s="34">
        <f t="shared" si="21"/>
        <v>7</v>
      </c>
      <c r="C103" s="34">
        <f t="shared" si="22"/>
        <v>97</v>
      </c>
      <c r="D103" s="34">
        <v>40260</v>
      </c>
      <c r="E103" s="34">
        <f t="shared" si="19"/>
        <v>1248</v>
      </c>
    </row>
    <row r="104" spans="1:5">
      <c r="A104" s="34">
        <f t="shared" si="20"/>
        <v>10</v>
      </c>
      <c r="B104" s="34">
        <f t="shared" si="21"/>
        <v>8</v>
      </c>
      <c r="C104" s="34">
        <f t="shared" si="22"/>
        <v>98</v>
      </c>
      <c r="D104" s="34">
        <v>7.37</v>
      </c>
      <c r="E104" s="34">
        <f t="shared" si="19"/>
        <v>1261</v>
      </c>
    </row>
    <row r="105" spans="1:5">
      <c r="A105" s="34">
        <f t="shared" si="20"/>
        <v>10</v>
      </c>
      <c r="B105" s="34">
        <f t="shared" si="21"/>
        <v>9</v>
      </c>
      <c r="C105" s="34">
        <f t="shared" si="22"/>
        <v>99</v>
      </c>
      <c r="D105" s="34">
        <v>654</v>
      </c>
      <c r="E105" s="34">
        <f t="shared" si="19"/>
        <v>1274</v>
      </c>
    </row>
    <row r="106" spans="1:5">
      <c r="A106" s="34">
        <f t="shared" si="20"/>
        <v>10</v>
      </c>
      <c r="B106" s="34">
        <f t="shared" si="21"/>
        <v>10</v>
      </c>
      <c r="C106" s="34">
        <f t="shared" si="22"/>
        <v>100</v>
      </c>
      <c r="D106" s="34">
        <v>37919</v>
      </c>
      <c r="E106" s="34">
        <f t="shared" si="19"/>
        <v>1287</v>
      </c>
    </row>
    <row r="107" spans="1:5">
      <c r="A107" s="34">
        <f t="shared" si="20"/>
        <v>11</v>
      </c>
      <c r="B107" s="34">
        <f t="shared" si="21"/>
        <v>1</v>
      </c>
      <c r="C107" s="34">
        <f t="shared" si="22"/>
        <v>101</v>
      </c>
      <c r="D107" s="34">
        <v>6.94</v>
      </c>
      <c r="E107" s="34">
        <f t="shared" si="19"/>
        <v>1300</v>
      </c>
    </row>
    <row r="108" spans="1:5">
      <c r="A108" s="34">
        <f t="shared" si="20"/>
        <v>11</v>
      </c>
      <c r="B108" s="34">
        <f t="shared" si="21"/>
        <v>2</v>
      </c>
      <c r="C108" s="34">
        <f t="shared" si="22"/>
        <v>102</v>
      </c>
      <c r="D108" s="34">
        <v>1517</v>
      </c>
      <c r="E108" s="34">
        <f t="shared" si="19"/>
        <v>1313</v>
      </c>
    </row>
    <row r="109" spans="1:5">
      <c r="A109" s="34">
        <f t="shared" si="20"/>
        <v>11</v>
      </c>
      <c r="B109" s="34">
        <f t="shared" si="21"/>
        <v>3</v>
      </c>
      <c r="C109" s="34">
        <f t="shared" si="22"/>
        <v>103</v>
      </c>
      <c r="D109" s="34">
        <v>616</v>
      </c>
      <c r="E109" s="34">
        <f t="shared" si="19"/>
        <v>1326</v>
      </c>
    </row>
    <row r="110" spans="1:5">
      <c r="A110" s="34">
        <f t="shared" si="20"/>
        <v>11</v>
      </c>
      <c r="B110" s="34">
        <f t="shared" si="21"/>
        <v>4</v>
      </c>
      <c r="C110" s="34">
        <f t="shared" si="22"/>
        <v>104</v>
      </c>
      <c r="D110" s="34">
        <v>278</v>
      </c>
      <c r="E110" s="34">
        <f t="shared" si="19"/>
        <v>1339</v>
      </c>
    </row>
    <row r="111" spans="1:5">
      <c r="A111" s="34">
        <f t="shared" si="20"/>
        <v>11</v>
      </c>
      <c r="B111" s="34">
        <f t="shared" si="21"/>
        <v>5</v>
      </c>
      <c r="C111" s="34">
        <f t="shared" si="22"/>
        <v>105</v>
      </c>
      <c r="D111" s="34">
        <v>212</v>
      </c>
      <c r="E111" s="34">
        <f t="shared" si="19"/>
        <v>1352</v>
      </c>
    </row>
    <row r="112" spans="1:5">
      <c r="A112" s="34">
        <f t="shared" si="20"/>
        <v>11</v>
      </c>
      <c r="B112" s="34">
        <f t="shared" si="21"/>
        <v>6</v>
      </c>
      <c r="C112" s="34">
        <f t="shared" si="22"/>
        <v>106</v>
      </c>
      <c r="D112" s="34" t="s">
        <v>92</v>
      </c>
      <c r="E112" s="34">
        <f t="shared" si="19"/>
        <v>1365</v>
      </c>
    </row>
    <row r="113" spans="1:5">
      <c r="A113" s="34">
        <f t="shared" si="20"/>
        <v>11</v>
      </c>
      <c r="B113" s="34">
        <f t="shared" si="21"/>
        <v>7</v>
      </c>
      <c r="C113" s="34">
        <f t="shared" si="22"/>
        <v>107</v>
      </c>
      <c r="D113" s="34">
        <v>25</v>
      </c>
      <c r="E113" s="34">
        <f t="shared" si="19"/>
        <v>1378</v>
      </c>
    </row>
    <row r="114" spans="1:5">
      <c r="A114" s="34">
        <f t="shared" si="20"/>
        <v>11</v>
      </c>
      <c r="B114" s="34">
        <f t="shared" si="21"/>
        <v>8</v>
      </c>
      <c r="C114" s="34">
        <f t="shared" si="22"/>
        <v>108</v>
      </c>
      <c r="D114" s="34">
        <v>9.4</v>
      </c>
      <c r="E114" s="34">
        <f t="shared" si="19"/>
        <v>1391</v>
      </c>
    </row>
    <row r="115" spans="1:5">
      <c r="A115" s="34">
        <f t="shared" si="20"/>
        <v>11</v>
      </c>
      <c r="B115" s="34">
        <f t="shared" si="21"/>
        <v>9</v>
      </c>
      <c r="C115" s="34">
        <f t="shared" si="22"/>
        <v>109</v>
      </c>
      <c r="D115" s="34">
        <v>5096</v>
      </c>
      <c r="E115" s="34">
        <f t="shared" si="19"/>
        <v>1404</v>
      </c>
    </row>
    <row r="116" spans="1:5">
      <c r="A116" s="34">
        <f t="shared" si="20"/>
        <v>11</v>
      </c>
      <c r="B116" s="34">
        <f t="shared" si="21"/>
        <v>10</v>
      </c>
      <c r="C116" s="34">
        <f t="shared" si="22"/>
        <v>110</v>
      </c>
      <c r="D116" s="34">
        <v>26192</v>
      </c>
      <c r="E116" s="34">
        <f t="shared" si="19"/>
        <v>1417</v>
      </c>
    </row>
    <row r="117" spans="1:5">
      <c r="A117" s="34">
        <f t="shared" si="20"/>
        <v>12</v>
      </c>
      <c r="B117" s="34">
        <f t="shared" si="21"/>
        <v>1</v>
      </c>
      <c r="C117" s="34">
        <f t="shared" si="22"/>
        <v>111</v>
      </c>
      <c r="D117" s="34">
        <v>5.14</v>
      </c>
      <c r="E117" s="34">
        <f t="shared" si="19"/>
        <v>1430</v>
      </c>
    </row>
    <row r="118" spans="1:5">
      <c r="A118" s="34">
        <f t="shared" si="20"/>
        <v>12</v>
      </c>
      <c r="B118" s="34">
        <f t="shared" si="21"/>
        <v>2</v>
      </c>
      <c r="C118" s="34">
        <f t="shared" si="22"/>
        <v>112</v>
      </c>
      <c r="D118" s="34">
        <v>545</v>
      </c>
      <c r="E118" s="34">
        <f t="shared" si="19"/>
        <v>1443</v>
      </c>
    </row>
    <row r="119" spans="1:5">
      <c r="A119" s="34">
        <f t="shared" si="20"/>
        <v>12</v>
      </c>
      <c r="B119" s="34">
        <f t="shared" si="21"/>
        <v>3</v>
      </c>
      <c r="C119" s="34">
        <f t="shared" si="22"/>
        <v>113</v>
      </c>
      <c r="D119" s="34">
        <v>36750</v>
      </c>
      <c r="E119" s="34">
        <f t="shared" si="19"/>
        <v>1456</v>
      </c>
    </row>
    <row r="120" spans="1:5">
      <c r="A120" s="34">
        <f t="shared" si="20"/>
        <v>12</v>
      </c>
      <c r="B120" s="34">
        <f t="shared" si="21"/>
        <v>4</v>
      </c>
      <c r="C120" s="34">
        <f t="shared" si="22"/>
        <v>114</v>
      </c>
      <c r="D120" s="34">
        <v>7.21</v>
      </c>
      <c r="E120" s="34">
        <f t="shared" si="19"/>
        <v>1469</v>
      </c>
    </row>
    <row r="121" spans="1:5">
      <c r="A121" s="34">
        <f t="shared" si="20"/>
        <v>12</v>
      </c>
      <c r="B121" s="34">
        <f t="shared" si="21"/>
        <v>5</v>
      </c>
      <c r="C121" s="34">
        <f t="shared" si="22"/>
        <v>115</v>
      </c>
      <c r="D121" s="34">
        <v>1470</v>
      </c>
      <c r="E121" s="34">
        <f t="shared" si="19"/>
        <v>1482</v>
      </c>
    </row>
    <row r="122" spans="1:5">
      <c r="A122" s="34">
        <f t="shared" si="20"/>
        <v>12</v>
      </c>
      <c r="B122" s="34">
        <f t="shared" si="21"/>
        <v>6</v>
      </c>
      <c r="C122" s="34">
        <f t="shared" si="22"/>
        <v>116</v>
      </c>
      <c r="D122" s="34">
        <v>764</v>
      </c>
      <c r="E122" s="34">
        <f t="shared" si="19"/>
        <v>1495</v>
      </c>
    </row>
    <row r="123" spans="1:5">
      <c r="A123" s="34">
        <f t="shared" si="20"/>
        <v>12</v>
      </c>
      <c r="B123" s="34">
        <f t="shared" si="21"/>
        <v>7</v>
      </c>
      <c r="C123" s="34">
        <f t="shared" si="22"/>
        <v>117</v>
      </c>
      <c r="D123" s="34">
        <v>288</v>
      </c>
      <c r="E123" s="34">
        <f t="shared" si="19"/>
        <v>1508</v>
      </c>
    </row>
    <row r="124" spans="1:5">
      <c r="A124" s="34">
        <f t="shared" si="20"/>
        <v>12</v>
      </c>
      <c r="B124" s="34">
        <f t="shared" si="21"/>
        <v>8</v>
      </c>
      <c r="C124" s="34">
        <f t="shared" si="22"/>
        <v>118</v>
      </c>
      <c r="D124" s="34">
        <v>213</v>
      </c>
      <c r="E124" s="34">
        <f t="shared" si="19"/>
        <v>1521</v>
      </c>
    </row>
    <row r="125" spans="1:5">
      <c r="A125" s="34">
        <f t="shared" si="20"/>
        <v>12</v>
      </c>
      <c r="B125" s="34">
        <f t="shared" si="21"/>
        <v>9</v>
      </c>
      <c r="C125" s="34">
        <f t="shared" si="22"/>
        <v>119</v>
      </c>
      <c r="D125" s="34" t="s">
        <v>92</v>
      </c>
      <c r="E125" s="34">
        <f t="shared" si="19"/>
        <v>1534</v>
      </c>
    </row>
    <row r="126" spans="1:5">
      <c r="A126" s="34">
        <f t="shared" si="20"/>
        <v>12</v>
      </c>
      <c r="B126" s="34">
        <f t="shared" si="21"/>
        <v>10</v>
      </c>
      <c r="C126" s="34">
        <f t="shared" si="22"/>
        <v>120</v>
      </c>
      <c r="D126" s="34">
        <v>15</v>
      </c>
      <c r="E126" s="34">
        <f t="shared" si="19"/>
        <v>1547</v>
      </c>
    </row>
    <row r="127" spans="1:5">
      <c r="A127" s="34">
        <f t="shared" si="20"/>
        <v>13</v>
      </c>
      <c r="B127" s="34">
        <f t="shared" si="21"/>
        <v>1</v>
      </c>
      <c r="C127" s="34">
        <f t="shared" si="22"/>
        <v>121</v>
      </c>
      <c r="D127" s="34">
        <v>3.8</v>
      </c>
      <c r="E127" s="34">
        <f t="shared" si="19"/>
        <v>1560</v>
      </c>
    </row>
    <row r="128" spans="1:5">
      <c r="A128" s="34">
        <f t="shared" si="20"/>
        <v>13</v>
      </c>
      <c r="B128" s="34">
        <f t="shared" si="21"/>
        <v>2</v>
      </c>
      <c r="C128" s="34">
        <f t="shared" si="22"/>
        <v>122</v>
      </c>
      <c r="D128" s="34">
        <v>5096</v>
      </c>
      <c r="E128" s="34">
        <f t="shared" si="19"/>
        <v>1573</v>
      </c>
    </row>
    <row r="129" spans="1:5">
      <c r="A129" s="34">
        <f t="shared" si="20"/>
        <v>13</v>
      </c>
      <c r="B129" s="34">
        <f t="shared" si="21"/>
        <v>3</v>
      </c>
      <c r="C129" s="34">
        <f t="shared" si="22"/>
        <v>123</v>
      </c>
      <c r="D129" s="34">
        <v>13401</v>
      </c>
      <c r="E129" s="34">
        <f t="shared" si="19"/>
        <v>1586</v>
      </c>
    </row>
    <row r="130" spans="1:5">
      <c r="A130" s="34">
        <f t="shared" si="20"/>
        <v>13</v>
      </c>
      <c r="B130" s="34">
        <f t="shared" si="21"/>
        <v>4</v>
      </c>
      <c r="C130" s="34">
        <f t="shared" si="22"/>
        <v>124</v>
      </c>
      <c r="D130" s="34">
        <v>2.63</v>
      </c>
      <c r="E130" s="34">
        <f t="shared" si="19"/>
        <v>1599</v>
      </c>
    </row>
    <row r="131" spans="1:5">
      <c r="A131" s="34">
        <f t="shared" si="20"/>
        <v>13</v>
      </c>
      <c r="B131" s="34">
        <f t="shared" si="21"/>
        <v>5</v>
      </c>
      <c r="C131" s="34">
        <f t="shared" si="22"/>
        <v>125</v>
      </c>
      <c r="D131" s="34">
        <v>691</v>
      </c>
      <c r="E131" s="34">
        <f t="shared" si="19"/>
        <v>1612</v>
      </c>
    </row>
    <row r="132" spans="1:5">
      <c r="A132" s="34">
        <f t="shared" si="20"/>
        <v>13</v>
      </c>
      <c r="B132" s="34">
        <f t="shared" si="21"/>
        <v>6</v>
      </c>
      <c r="C132" s="34">
        <f t="shared" si="22"/>
        <v>126</v>
      </c>
      <c r="D132" s="34">
        <v>13720</v>
      </c>
      <c r="E132" s="34">
        <f t="shared" si="19"/>
        <v>1625</v>
      </c>
    </row>
    <row r="133" spans="1:5">
      <c r="A133" s="34">
        <f t="shared" si="20"/>
        <v>13</v>
      </c>
      <c r="B133" s="34">
        <f t="shared" si="21"/>
        <v>7</v>
      </c>
      <c r="C133" s="34">
        <f t="shared" si="22"/>
        <v>127</v>
      </c>
      <c r="D133" s="34">
        <v>2.69</v>
      </c>
      <c r="E133" s="34">
        <f t="shared" si="19"/>
        <v>1638</v>
      </c>
    </row>
    <row r="134" spans="1:5">
      <c r="A134" s="34">
        <f t="shared" si="20"/>
        <v>13</v>
      </c>
      <c r="B134" s="34">
        <f t="shared" si="21"/>
        <v>8</v>
      </c>
      <c r="C134" s="34">
        <f t="shared" si="22"/>
        <v>128</v>
      </c>
      <c r="D134" s="34">
        <v>915</v>
      </c>
      <c r="E134" s="34">
        <f t="shared" si="19"/>
        <v>1651</v>
      </c>
    </row>
    <row r="135" spans="1:5">
      <c r="A135" s="34">
        <f t="shared" si="20"/>
        <v>13</v>
      </c>
      <c r="B135" s="34">
        <f t="shared" si="21"/>
        <v>9</v>
      </c>
      <c r="C135" s="34">
        <f t="shared" si="22"/>
        <v>129</v>
      </c>
      <c r="D135" s="34">
        <v>708</v>
      </c>
      <c r="E135" s="34">
        <f t="shared" si="19"/>
        <v>1664</v>
      </c>
    </row>
    <row r="136" spans="1:5">
      <c r="A136" s="34">
        <f t="shared" si="20"/>
        <v>13</v>
      </c>
      <c r="B136" s="34">
        <f t="shared" si="21"/>
        <v>10</v>
      </c>
      <c r="C136" s="34">
        <f t="shared" si="22"/>
        <v>130</v>
      </c>
      <c r="D136" s="34">
        <v>179</v>
      </c>
      <c r="E136" s="34">
        <f t="shared" si="19"/>
        <v>1677</v>
      </c>
    </row>
    <row r="137" spans="1:5">
      <c r="A137" s="34">
        <f t="shared" si="20"/>
        <v>14</v>
      </c>
      <c r="B137" s="34">
        <f t="shared" si="21"/>
        <v>1</v>
      </c>
      <c r="C137" s="34">
        <f t="shared" si="22"/>
        <v>131</v>
      </c>
      <c r="D137" s="34">
        <v>214</v>
      </c>
      <c r="E137" s="34">
        <f t="shared" ref="E137:E200" si="23">E136+13</f>
        <v>1690</v>
      </c>
    </row>
    <row r="138" spans="1:5">
      <c r="A138" s="34">
        <f t="shared" si="20"/>
        <v>14</v>
      </c>
      <c r="B138" s="34">
        <f t="shared" si="21"/>
        <v>2</v>
      </c>
      <c r="C138" s="34">
        <f t="shared" si="22"/>
        <v>132</v>
      </c>
      <c r="D138" s="34" t="s">
        <v>92</v>
      </c>
      <c r="E138" s="34">
        <f t="shared" si="23"/>
        <v>1703</v>
      </c>
    </row>
    <row r="139" spans="1:5">
      <c r="A139" s="34">
        <f t="shared" si="20"/>
        <v>14</v>
      </c>
      <c r="B139" s="34">
        <f t="shared" si="21"/>
        <v>3</v>
      </c>
      <c r="C139" s="34">
        <f t="shared" si="22"/>
        <v>133</v>
      </c>
      <c r="D139" s="34">
        <v>10</v>
      </c>
      <c r="E139" s="34">
        <f t="shared" si="23"/>
        <v>1716</v>
      </c>
    </row>
    <row r="140" spans="1:5">
      <c r="A140" s="34">
        <f t="shared" si="20"/>
        <v>14</v>
      </c>
      <c r="B140" s="34">
        <f t="shared" si="21"/>
        <v>4</v>
      </c>
      <c r="C140" s="34">
        <f t="shared" si="22"/>
        <v>134</v>
      </c>
      <c r="D140" s="34">
        <v>1.6</v>
      </c>
      <c r="E140" s="34">
        <f t="shared" si="23"/>
        <v>1729</v>
      </c>
    </row>
    <row r="141" spans="1:5">
      <c r="A141" s="34">
        <f t="shared" si="20"/>
        <v>14</v>
      </c>
      <c r="B141" s="34">
        <f t="shared" si="21"/>
        <v>5</v>
      </c>
      <c r="C141" s="34">
        <f t="shared" si="22"/>
        <v>135</v>
      </c>
      <c r="D141" s="34">
        <v>4992</v>
      </c>
      <c r="E141" s="34">
        <f t="shared" si="23"/>
        <v>1742</v>
      </c>
    </row>
    <row r="142" spans="1:5">
      <c r="A142" s="34">
        <f t="shared" si="20"/>
        <v>14</v>
      </c>
      <c r="B142" s="34">
        <f t="shared" si="21"/>
        <v>6</v>
      </c>
      <c r="C142" s="34">
        <f t="shared" si="22"/>
        <v>136</v>
      </c>
      <c r="D142" s="34">
        <v>4870</v>
      </c>
      <c r="E142" s="34">
        <f t="shared" si="23"/>
        <v>1755</v>
      </c>
    </row>
    <row r="143" spans="1:5">
      <c r="A143" s="34">
        <f t="shared" si="20"/>
        <v>14</v>
      </c>
      <c r="B143" s="34">
        <f t="shared" si="21"/>
        <v>7</v>
      </c>
      <c r="C143" s="34">
        <f t="shared" si="22"/>
        <v>137</v>
      </c>
      <c r="D143" s="34">
        <v>0.98</v>
      </c>
      <c r="E143" s="34">
        <f t="shared" si="23"/>
        <v>1768</v>
      </c>
    </row>
    <row r="144" spans="1:5">
      <c r="A144" s="34">
        <f t="shared" si="20"/>
        <v>14</v>
      </c>
      <c r="B144" s="34">
        <f t="shared" si="21"/>
        <v>8</v>
      </c>
      <c r="C144" s="34">
        <f t="shared" si="22"/>
        <v>138</v>
      </c>
      <c r="D144" s="34">
        <v>621</v>
      </c>
      <c r="E144" s="34">
        <f t="shared" si="23"/>
        <v>1781</v>
      </c>
    </row>
    <row r="145" spans="1:5">
      <c r="A145" s="34">
        <f t="shared" si="20"/>
        <v>14</v>
      </c>
      <c r="B145" s="34">
        <f t="shared" si="21"/>
        <v>9</v>
      </c>
      <c r="C145" s="34">
        <f t="shared" si="22"/>
        <v>139</v>
      </c>
      <c r="D145" s="34">
        <v>8109</v>
      </c>
      <c r="E145" s="34">
        <f t="shared" si="23"/>
        <v>1794</v>
      </c>
    </row>
    <row r="146" spans="1:5">
      <c r="A146" s="34">
        <f t="shared" ref="A146:A209" si="24">A136+1</f>
        <v>14</v>
      </c>
      <c r="B146" s="34">
        <f t="shared" ref="B146:B209" si="25">B136</f>
        <v>10</v>
      </c>
      <c r="C146" s="34">
        <f t="shared" si="22"/>
        <v>140</v>
      </c>
      <c r="D146" s="34">
        <v>1.62</v>
      </c>
      <c r="E146" s="34">
        <f t="shared" si="23"/>
        <v>1807</v>
      </c>
    </row>
    <row r="147" spans="1:5">
      <c r="A147" s="34">
        <f t="shared" si="24"/>
        <v>15</v>
      </c>
      <c r="B147" s="34">
        <f t="shared" si="25"/>
        <v>1</v>
      </c>
      <c r="C147" s="34">
        <f t="shared" si="22"/>
        <v>141</v>
      </c>
      <c r="D147" s="34">
        <v>811</v>
      </c>
      <c r="E147" s="34">
        <f t="shared" si="23"/>
        <v>1820</v>
      </c>
    </row>
    <row r="148" spans="1:5">
      <c r="A148" s="34">
        <f t="shared" si="24"/>
        <v>15</v>
      </c>
      <c r="B148" s="34">
        <f t="shared" si="25"/>
        <v>2</v>
      </c>
      <c r="C148" s="34">
        <f t="shared" si="22"/>
        <v>142</v>
      </c>
      <c r="D148" s="34">
        <v>1035</v>
      </c>
      <c r="E148" s="34">
        <f t="shared" si="23"/>
        <v>1833</v>
      </c>
    </row>
    <row r="149" spans="1:5">
      <c r="A149" s="34">
        <f t="shared" si="24"/>
        <v>15</v>
      </c>
      <c r="B149" s="34">
        <f t="shared" si="25"/>
        <v>3</v>
      </c>
      <c r="C149" s="34">
        <f t="shared" si="22"/>
        <v>143</v>
      </c>
      <c r="D149" s="34">
        <v>162</v>
      </c>
      <c r="E149" s="34">
        <f t="shared" si="23"/>
        <v>1846</v>
      </c>
    </row>
    <row r="150" spans="1:5">
      <c r="A150" s="34">
        <f t="shared" si="24"/>
        <v>15</v>
      </c>
      <c r="B150" s="34">
        <f t="shared" si="25"/>
        <v>4</v>
      </c>
      <c r="C150" s="34">
        <f t="shared" si="22"/>
        <v>144</v>
      </c>
      <c r="D150" s="34">
        <v>215</v>
      </c>
      <c r="E150" s="34">
        <f t="shared" si="23"/>
        <v>1859</v>
      </c>
    </row>
    <row r="151" spans="1:5">
      <c r="A151" s="34">
        <f t="shared" si="24"/>
        <v>15</v>
      </c>
      <c r="B151" s="34">
        <f t="shared" si="25"/>
        <v>5</v>
      </c>
      <c r="C151" s="34">
        <f t="shared" si="22"/>
        <v>145</v>
      </c>
      <c r="D151" s="34" t="s">
        <v>92</v>
      </c>
      <c r="E151" s="34">
        <f t="shared" si="23"/>
        <v>1872</v>
      </c>
    </row>
    <row r="152" spans="1:5">
      <c r="A152" s="34">
        <f t="shared" si="24"/>
        <v>15</v>
      </c>
      <c r="B152" s="34">
        <f t="shared" si="25"/>
        <v>6</v>
      </c>
      <c r="C152" s="34">
        <f t="shared" si="22"/>
        <v>146</v>
      </c>
      <c r="D152" s="34">
        <v>10</v>
      </c>
      <c r="E152" s="34">
        <f t="shared" si="23"/>
        <v>1885</v>
      </c>
    </row>
    <row r="153" spans="1:5">
      <c r="A153" s="34">
        <f t="shared" si="24"/>
        <v>15</v>
      </c>
      <c r="B153" s="34">
        <f t="shared" si="25"/>
        <v>7</v>
      </c>
      <c r="C153" s="34">
        <f t="shared" ref="C153:C216" si="26">C152+1</f>
        <v>147</v>
      </c>
      <c r="D153" s="34">
        <v>2.5</v>
      </c>
      <c r="E153" s="34">
        <f t="shared" si="23"/>
        <v>1898</v>
      </c>
    </row>
    <row r="154" spans="1:5">
      <c r="A154" s="34">
        <f t="shared" si="24"/>
        <v>15</v>
      </c>
      <c r="B154" s="34">
        <f t="shared" si="25"/>
        <v>8</v>
      </c>
      <c r="C154" s="34">
        <f t="shared" si="26"/>
        <v>148</v>
      </c>
      <c r="D154" s="34">
        <v>4992</v>
      </c>
      <c r="E154" s="34">
        <f t="shared" si="23"/>
        <v>1911</v>
      </c>
    </row>
    <row r="155" spans="1:5">
      <c r="A155" s="34">
        <f t="shared" si="24"/>
        <v>15</v>
      </c>
      <c r="B155" s="34">
        <f t="shared" si="25"/>
        <v>9</v>
      </c>
      <c r="C155" s="34">
        <f t="shared" si="26"/>
        <v>149</v>
      </c>
      <c r="D155" s="34">
        <v>6293</v>
      </c>
      <c r="E155" s="34">
        <f t="shared" si="23"/>
        <v>1924</v>
      </c>
    </row>
    <row r="156" spans="1:5">
      <c r="A156" s="34">
        <f t="shared" si="24"/>
        <v>15</v>
      </c>
      <c r="B156" s="34">
        <f t="shared" si="25"/>
        <v>10</v>
      </c>
      <c r="C156" s="34">
        <f t="shared" si="26"/>
        <v>150</v>
      </c>
      <c r="D156" s="34">
        <v>1.26</v>
      </c>
      <c r="E156" s="34">
        <f t="shared" si="23"/>
        <v>1937</v>
      </c>
    </row>
    <row r="157" spans="1:5">
      <c r="A157" s="34">
        <f t="shared" si="24"/>
        <v>16</v>
      </c>
      <c r="B157" s="34">
        <f t="shared" si="25"/>
        <v>1</v>
      </c>
      <c r="C157" s="34">
        <f t="shared" si="26"/>
        <v>151</v>
      </c>
      <c r="D157" s="34">
        <v>512</v>
      </c>
      <c r="E157" s="34">
        <f t="shared" si="23"/>
        <v>1950</v>
      </c>
    </row>
    <row r="158" spans="1:5">
      <c r="A158" s="34">
        <f t="shared" si="24"/>
        <v>16</v>
      </c>
      <c r="B158" s="34">
        <f t="shared" si="25"/>
        <v>2</v>
      </c>
      <c r="C158" s="34">
        <f t="shared" si="26"/>
        <v>152</v>
      </c>
      <c r="D158" s="34">
        <v>6293</v>
      </c>
      <c r="E158" s="34">
        <f t="shared" si="23"/>
        <v>1963</v>
      </c>
    </row>
    <row r="159" spans="1:5">
      <c r="A159" s="34">
        <f t="shared" si="24"/>
        <v>16</v>
      </c>
      <c r="B159" s="34">
        <f t="shared" si="25"/>
        <v>3</v>
      </c>
      <c r="C159" s="34">
        <f t="shared" si="26"/>
        <v>153</v>
      </c>
      <c r="D159" s="34">
        <v>1.26</v>
      </c>
      <c r="E159" s="34">
        <f t="shared" si="23"/>
        <v>1976</v>
      </c>
    </row>
    <row r="160" spans="1:5">
      <c r="A160" s="34">
        <f t="shared" si="24"/>
        <v>16</v>
      </c>
      <c r="B160" s="34">
        <f t="shared" si="25"/>
        <v>4</v>
      </c>
      <c r="C160" s="34">
        <f t="shared" si="26"/>
        <v>154</v>
      </c>
      <c r="D160" s="34">
        <v>629</v>
      </c>
      <c r="E160" s="34">
        <f t="shared" si="23"/>
        <v>1989</v>
      </c>
    </row>
    <row r="161" spans="1:5">
      <c r="A161" s="34">
        <f t="shared" si="24"/>
        <v>16</v>
      </c>
      <c r="B161" s="34">
        <f t="shared" si="25"/>
        <v>5</v>
      </c>
      <c r="C161" s="34">
        <f t="shared" si="26"/>
        <v>155</v>
      </c>
      <c r="D161" s="34">
        <v>512</v>
      </c>
      <c r="E161" s="34">
        <f t="shared" si="23"/>
        <v>2002</v>
      </c>
    </row>
    <row r="162" spans="1:5">
      <c r="A162" s="34">
        <f t="shared" si="24"/>
        <v>16</v>
      </c>
      <c r="B162" s="34">
        <f t="shared" si="25"/>
        <v>6</v>
      </c>
      <c r="C162" s="34">
        <f t="shared" si="26"/>
        <v>156</v>
      </c>
      <c r="D162" s="34">
        <v>126</v>
      </c>
      <c r="E162" s="34">
        <f t="shared" si="23"/>
        <v>2015</v>
      </c>
    </row>
    <row r="163" spans="1:5">
      <c r="A163" s="34">
        <f t="shared" si="24"/>
        <v>16</v>
      </c>
      <c r="B163" s="34">
        <f t="shared" si="25"/>
        <v>7</v>
      </c>
      <c r="C163" s="34">
        <f t="shared" si="26"/>
        <v>157</v>
      </c>
      <c r="D163" s="34">
        <v>217</v>
      </c>
      <c r="E163" s="34">
        <f t="shared" si="23"/>
        <v>2028</v>
      </c>
    </row>
    <row r="164" spans="1:5">
      <c r="A164" s="34">
        <f t="shared" si="24"/>
        <v>16</v>
      </c>
      <c r="B164" s="34">
        <f t="shared" si="25"/>
        <v>8</v>
      </c>
      <c r="C164" s="34">
        <f t="shared" si="26"/>
        <v>158</v>
      </c>
      <c r="D164" s="34" t="s">
        <v>92</v>
      </c>
      <c r="E164" s="34">
        <f t="shared" si="23"/>
        <v>2041</v>
      </c>
    </row>
    <row r="165" spans="1:5">
      <c r="A165" s="34">
        <f t="shared" si="24"/>
        <v>16</v>
      </c>
      <c r="B165" s="34">
        <f t="shared" si="25"/>
        <v>9</v>
      </c>
      <c r="C165" s="34">
        <f t="shared" si="26"/>
        <v>159</v>
      </c>
      <c r="D165" s="34">
        <v>10</v>
      </c>
      <c r="E165" s="34">
        <f t="shared" si="23"/>
        <v>2054</v>
      </c>
    </row>
    <row r="166" spans="1:5">
      <c r="A166" s="34">
        <f t="shared" si="24"/>
        <v>16</v>
      </c>
      <c r="B166" s="34">
        <f t="shared" si="25"/>
        <v>10</v>
      </c>
      <c r="C166" s="34">
        <f t="shared" si="26"/>
        <v>160</v>
      </c>
      <c r="D166" s="34">
        <v>2.6</v>
      </c>
      <c r="E166" s="34">
        <f t="shared" si="23"/>
        <v>2067</v>
      </c>
    </row>
    <row r="167" spans="1:5">
      <c r="A167" s="34">
        <f t="shared" si="24"/>
        <v>17</v>
      </c>
      <c r="B167" s="34">
        <f t="shared" si="25"/>
        <v>1</v>
      </c>
      <c r="C167" s="34">
        <f t="shared" si="26"/>
        <v>161</v>
      </c>
      <c r="D167" s="34">
        <v>5096</v>
      </c>
      <c r="E167" s="34">
        <f t="shared" si="23"/>
        <v>2080</v>
      </c>
    </row>
    <row r="168" spans="1:5">
      <c r="A168" s="34">
        <f t="shared" si="24"/>
        <v>17</v>
      </c>
      <c r="B168" s="34">
        <f t="shared" si="25"/>
        <v>2</v>
      </c>
      <c r="C168" s="34">
        <f t="shared" si="26"/>
        <v>162</v>
      </c>
      <c r="D168" s="34">
        <v>6246</v>
      </c>
      <c r="E168" s="34">
        <f t="shared" si="23"/>
        <v>2093</v>
      </c>
    </row>
    <row r="169" spans="1:5">
      <c r="A169" s="34">
        <f t="shared" si="24"/>
        <v>17</v>
      </c>
      <c r="B169" s="34">
        <f t="shared" si="25"/>
        <v>3</v>
      </c>
      <c r="C169" s="34">
        <f t="shared" si="26"/>
        <v>163</v>
      </c>
      <c r="D169" s="34">
        <v>1.23</v>
      </c>
      <c r="E169" s="34">
        <f t="shared" si="23"/>
        <v>2106</v>
      </c>
    </row>
    <row r="170" spans="1:5">
      <c r="A170" s="34">
        <f t="shared" si="24"/>
        <v>17</v>
      </c>
      <c r="B170" s="34">
        <f t="shared" si="25"/>
        <v>4</v>
      </c>
      <c r="C170" s="34">
        <f t="shared" si="26"/>
        <v>164</v>
      </c>
      <c r="D170" s="34">
        <v>479</v>
      </c>
      <c r="E170" s="34">
        <f t="shared" si="23"/>
        <v>2119</v>
      </c>
    </row>
    <row r="171" spans="1:5">
      <c r="A171" s="34">
        <f t="shared" si="24"/>
        <v>17</v>
      </c>
      <c r="B171" s="34">
        <f t="shared" si="25"/>
        <v>5</v>
      </c>
      <c r="C171" s="34">
        <f t="shared" si="26"/>
        <v>165</v>
      </c>
      <c r="D171" s="34">
        <v>6334</v>
      </c>
      <c r="E171" s="34">
        <f t="shared" si="23"/>
        <v>2132</v>
      </c>
    </row>
    <row r="172" spans="1:5">
      <c r="A172" s="34">
        <f t="shared" si="24"/>
        <v>17</v>
      </c>
      <c r="B172" s="34">
        <f t="shared" si="25"/>
        <v>6</v>
      </c>
      <c r="C172" s="34">
        <f t="shared" si="26"/>
        <v>166</v>
      </c>
      <c r="D172" s="34">
        <v>1.24</v>
      </c>
      <c r="E172" s="34">
        <f t="shared" si="23"/>
        <v>2145</v>
      </c>
    </row>
    <row r="173" spans="1:5">
      <c r="A173" s="34">
        <f t="shared" si="24"/>
        <v>17</v>
      </c>
      <c r="B173" s="34">
        <f t="shared" si="25"/>
        <v>7</v>
      </c>
      <c r="C173" s="34">
        <f t="shared" si="26"/>
        <v>167</v>
      </c>
      <c r="D173" s="34">
        <v>633</v>
      </c>
      <c r="E173" s="34">
        <f t="shared" si="23"/>
        <v>2158</v>
      </c>
    </row>
    <row r="174" spans="1:5">
      <c r="A174" s="34">
        <f t="shared" si="24"/>
        <v>17</v>
      </c>
      <c r="B174" s="34">
        <f t="shared" si="25"/>
        <v>8</v>
      </c>
      <c r="C174" s="34">
        <f t="shared" si="26"/>
        <v>168</v>
      </c>
      <c r="D174" s="34">
        <v>485</v>
      </c>
      <c r="E174" s="34">
        <f t="shared" si="23"/>
        <v>2171</v>
      </c>
    </row>
    <row r="175" spans="1:5">
      <c r="A175" s="34">
        <f t="shared" si="24"/>
        <v>17</v>
      </c>
      <c r="B175" s="34">
        <f t="shared" si="25"/>
        <v>9</v>
      </c>
      <c r="C175" s="34">
        <f t="shared" si="26"/>
        <v>169</v>
      </c>
      <c r="D175" s="34">
        <v>124</v>
      </c>
      <c r="E175" s="34">
        <f t="shared" si="23"/>
        <v>2184</v>
      </c>
    </row>
    <row r="176" spans="1:5">
      <c r="A176" s="34">
        <f t="shared" si="24"/>
        <v>17</v>
      </c>
      <c r="B176" s="34">
        <f t="shared" si="25"/>
        <v>10</v>
      </c>
      <c r="C176" s="34">
        <f t="shared" si="26"/>
        <v>170</v>
      </c>
      <c r="D176" s="34">
        <v>218</v>
      </c>
      <c r="E176" s="34">
        <f t="shared" si="23"/>
        <v>2197</v>
      </c>
    </row>
    <row r="177" spans="1:5">
      <c r="A177" s="34">
        <f t="shared" si="24"/>
        <v>18</v>
      </c>
      <c r="B177" s="34">
        <f t="shared" si="25"/>
        <v>1</v>
      </c>
      <c r="C177" s="34">
        <f t="shared" si="26"/>
        <v>171</v>
      </c>
      <c r="D177" s="34" t="s">
        <v>92</v>
      </c>
      <c r="E177" s="34">
        <f t="shared" si="23"/>
        <v>2210</v>
      </c>
    </row>
    <row r="178" spans="1:5">
      <c r="A178" s="34">
        <f t="shared" si="24"/>
        <v>18</v>
      </c>
      <c r="B178" s="34">
        <f t="shared" si="25"/>
        <v>2</v>
      </c>
      <c r="C178" s="34">
        <f t="shared" si="26"/>
        <v>172</v>
      </c>
      <c r="D178" s="34">
        <v>10</v>
      </c>
      <c r="E178" s="34">
        <f t="shared" si="23"/>
        <v>2223</v>
      </c>
    </row>
    <row r="179" spans="1:5">
      <c r="A179" s="34">
        <f t="shared" si="24"/>
        <v>18</v>
      </c>
      <c r="B179" s="34">
        <f t="shared" si="25"/>
        <v>3</v>
      </c>
      <c r="C179" s="34">
        <f t="shared" si="26"/>
        <v>173</v>
      </c>
      <c r="D179" s="35">
        <v>2.9</v>
      </c>
      <c r="E179" s="34">
        <f t="shared" si="23"/>
        <v>2236</v>
      </c>
    </row>
    <row r="180" spans="1:5">
      <c r="A180" s="34">
        <f t="shared" si="24"/>
        <v>18</v>
      </c>
      <c r="B180" s="34">
        <f t="shared" si="25"/>
        <v>4</v>
      </c>
      <c r="C180" s="34">
        <f t="shared" si="26"/>
        <v>174</v>
      </c>
      <c r="D180" s="35">
        <v>5460</v>
      </c>
      <c r="E180" s="34">
        <f t="shared" si="23"/>
        <v>2249</v>
      </c>
    </row>
    <row r="181" spans="1:5">
      <c r="A181" s="34">
        <f t="shared" si="24"/>
        <v>18</v>
      </c>
      <c r="B181" s="34">
        <f t="shared" si="25"/>
        <v>5</v>
      </c>
      <c r="C181" s="34">
        <f t="shared" si="26"/>
        <v>175</v>
      </c>
      <c r="D181" s="34">
        <v>8810</v>
      </c>
      <c r="E181" s="34">
        <f t="shared" si="23"/>
        <v>2262</v>
      </c>
    </row>
    <row r="182" spans="1:5">
      <c r="A182" s="34">
        <f t="shared" si="24"/>
        <v>18</v>
      </c>
      <c r="B182" s="34">
        <f t="shared" si="25"/>
        <v>6</v>
      </c>
      <c r="C182" s="34">
        <f t="shared" si="26"/>
        <v>176</v>
      </c>
      <c r="D182" s="34">
        <v>1.61</v>
      </c>
      <c r="E182" s="34">
        <f t="shared" si="23"/>
        <v>2275</v>
      </c>
    </row>
    <row r="183" spans="1:5">
      <c r="A183" s="34">
        <f t="shared" si="24"/>
        <v>18</v>
      </c>
      <c r="B183" s="34">
        <f t="shared" si="25"/>
        <v>7</v>
      </c>
      <c r="C183" s="34">
        <f t="shared" si="26"/>
        <v>177</v>
      </c>
      <c r="D183" s="34">
        <v>553</v>
      </c>
      <c r="E183" s="34">
        <f t="shared" si="23"/>
        <v>2288</v>
      </c>
    </row>
    <row r="184" spans="1:5">
      <c r="A184" s="34">
        <f t="shared" si="24"/>
        <v>18</v>
      </c>
      <c r="B184" s="34">
        <f t="shared" si="25"/>
        <v>8</v>
      </c>
      <c r="C184" s="34">
        <f t="shared" si="26"/>
        <v>178</v>
      </c>
      <c r="D184" s="34">
        <v>10383</v>
      </c>
      <c r="E184" s="34">
        <f t="shared" si="23"/>
        <v>2301</v>
      </c>
    </row>
    <row r="185" spans="1:5">
      <c r="A185" s="34">
        <f t="shared" si="24"/>
        <v>18</v>
      </c>
      <c r="B185" s="34">
        <f t="shared" si="25"/>
        <v>9</v>
      </c>
      <c r="C185" s="34">
        <f t="shared" si="26"/>
        <v>179</v>
      </c>
      <c r="D185" s="35">
        <v>1.9</v>
      </c>
      <c r="E185" s="34">
        <f t="shared" si="23"/>
        <v>2314</v>
      </c>
    </row>
    <row r="186" spans="1:5">
      <c r="A186" s="34">
        <f t="shared" si="24"/>
        <v>18</v>
      </c>
      <c r="B186" s="34">
        <f t="shared" si="25"/>
        <v>10</v>
      </c>
      <c r="C186" s="34">
        <f t="shared" si="26"/>
        <v>180</v>
      </c>
      <c r="D186" s="34">
        <v>1038</v>
      </c>
      <c r="E186" s="34">
        <f t="shared" si="23"/>
        <v>2327</v>
      </c>
    </row>
    <row r="187" spans="1:5">
      <c r="A187" s="34">
        <f t="shared" si="24"/>
        <v>19</v>
      </c>
      <c r="B187" s="34">
        <f t="shared" si="25"/>
        <v>1</v>
      </c>
      <c r="C187" s="34">
        <f t="shared" si="26"/>
        <v>181</v>
      </c>
      <c r="D187" s="34">
        <v>652</v>
      </c>
      <c r="E187" s="34">
        <f t="shared" si="23"/>
        <v>2340</v>
      </c>
    </row>
    <row r="188" spans="1:5">
      <c r="A188" s="34">
        <f t="shared" si="24"/>
        <v>19</v>
      </c>
      <c r="B188" s="34">
        <f t="shared" si="25"/>
        <v>2</v>
      </c>
      <c r="C188" s="34">
        <f t="shared" si="26"/>
        <v>182</v>
      </c>
      <c r="D188" s="34">
        <v>190</v>
      </c>
      <c r="E188" s="34">
        <f t="shared" si="23"/>
        <v>2353</v>
      </c>
    </row>
    <row r="189" spans="1:5">
      <c r="A189" s="34">
        <f t="shared" si="24"/>
        <v>19</v>
      </c>
      <c r="B189" s="34">
        <f t="shared" si="25"/>
        <v>3</v>
      </c>
      <c r="C189" s="34">
        <f t="shared" si="26"/>
        <v>183</v>
      </c>
      <c r="D189" s="35">
        <v>219</v>
      </c>
      <c r="E189" s="34">
        <f t="shared" si="23"/>
        <v>2366</v>
      </c>
    </row>
    <row r="190" spans="1:5">
      <c r="A190" s="34">
        <f t="shared" si="24"/>
        <v>19</v>
      </c>
      <c r="B190" s="34">
        <f t="shared" si="25"/>
        <v>4</v>
      </c>
      <c r="C190" s="34">
        <f t="shared" si="26"/>
        <v>184</v>
      </c>
      <c r="D190" s="35" t="s">
        <v>92</v>
      </c>
      <c r="E190" s="34">
        <f t="shared" si="23"/>
        <v>2379</v>
      </c>
    </row>
    <row r="191" spans="1:5">
      <c r="A191" s="34">
        <f t="shared" si="24"/>
        <v>19</v>
      </c>
      <c r="B191" s="34">
        <f t="shared" si="25"/>
        <v>5</v>
      </c>
      <c r="C191" s="34">
        <f t="shared" si="26"/>
        <v>185</v>
      </c>
      <c r="D191" s="34">
        <v>15</v>
      </c>
      <c r="E191" s="34">
        <f t="shared" si="23"/>
        <v>2392</v>
      </c>
    </row>
    <row r="192" spans="1:5">
      <c r="A192" s="34">
        <f t="shared" si="24"/>
        <v>19</v>
      </c>
      <c r="B192" s="34">
        <f t="shared" si="25"/>
        <v>6</v>
      </c>
      <c r="C192" s="34">
        <f t="shared" si="26"/>
        <v>186</v>
      </c>
      <c r="D192" s="34">
        <v>1.7</v>
      </c>
      <c r="E192" s="34">
        <f t="shared" si="23"/>
        <v>2405</v>
      </c>
    </row>
    <row r="193" spans="1:5">
      <c r="A193" s="34">
        <f t="shared" si="24"/>
        <v>19</v>
      </c>
      <c r="B193" s="34">
        <f t="shared" si="25"/>
        <v>7</v>
      </c>
      <c r="C193" s="34">
        <f t="shared" si="26"/>
        <v>187</v>
      </c>
      <c r="D193" s="35">
        <v>4992</v>
      </c>
      <c r="E193" s="34">
        <f t="shared" si="23"/>
        <v>2418</v>
      </c>
    </row>
    <row r="194" spans="1:5">
      <c r="A194" s="34">
        <f t="shared" si="24"/>
        <v>19</v>
      </c>
      <c r="B194" s="34">
        <f t="shared" si="25"/>
        <v>8</v>
      </c>
      <c r="C194" s="34">
        <f t="shared" si="26"/>
        <v>188</v>
      </c>
      <c r="D194" s="34">
        <v>4854</v>
      </c>
      <c r="E194" s="34">
        <f t="shared" si="23"/>
        <v>2431</v>
      </c>
    </row>
    <row r="195" spans="1:5">
      <c r="A195" s="34">
        <f t="shared" si="24"/>
        <v>19</v>
      </c>
      <c r="B195" s="34">
        <f t="shared" si="25"/>
        <v>9</v>
      </c>
      <c r="C195" s="34">
        <f t="shared" si="26"/>
        <v>189</v>
      </c>
      <c r="D195" s="35">
        <v>0.97</v>
      </c>
      <c r="E195" s="34">
        <f t="shared" si="23"/>
        <v>2444</v>
      </c>
    </row>
    <row r="196" spans="1:5">
      <c r="A196" s="34">
        <f t="shared" si="24"/>
        <v>19</v>
      </c>
      <c r="B196" s="34">
        <f t="shared" si="25"/>
        <v>10</v>
      </c>
      <c r="C196" s="34">
        <f t="shared" si="26"/>
        <v>190</v>
      </c>
      <c r="D196" s="34">
        <v>566</v>
      </c>
      <c r="E196" s="34">
        <f t="shared" si="23"/>
        <v>2457</v>
      </c>
    </row>
    <row r="197" spans="1:5">
      <c r="A197" s="34">
        <f t="shared" si="24"/>
        <v>20</v>
      </c>
      <c r="B197" s="34">
        <f t="shared" si="25"/>
        <v>1</v>
      </c>
      <c r="C197" s="34">
        <f t="shared" si="26"/>
        <v>191</v>
      </c>
      <c r="D197" s="34">
        <v>2369</v>
      </c>
      <c r="E197" s="34">
        <f t="shared" si="23"/>
        <v>2470</v>
      </c>
    </row>
    <row r="198" spans="1:5">
      <c r="A198" s="34">
        <f t="shared" si="24"/>
        <v>20</v>
      </c>
      <c r="B198" s="34">
        <f t="shared" si="25"/>
        <v>2</v>
      </c>
      <c r="C198" s="34">
        <f t="shared" si="26"/>
        <v>192</v>
      </c>
      <c r="D198" s="34">
        <v>0.47</v>
      </c>
      <c r="E198" s="34">
        <f t="shared" si="23"/>
        <v>2483</v>
      </c>
    </row>
    <row r="199" spans="1:5">
      <c r="A199" s="34">
        <f t="shared" si="24"/>
        <v>20</v>
      </c>
      <c r="B199" s="34">
        <f t="shared" si="25"/>
        <v>3</v>
      </c>
      <c r="C199" s="34">
        <f t="shared" si="26"/>
        <v>193</v>
      </c>
      <c r="D199" s="35">
        <v>158</v>
      </c>
      <c r="E199" s="34">
        <f t="shared" si="23"/>
        <v>2496</v>
      </c>
    </row>
    <row r="200" spans="1:5">
      <c r="A200" s="34">
        <f t="shared" si="24"/>
        <v>20</v>
      </c>
      <c r="B200" s="34">
        <f t="shared" si="25"/>
        <v>4</v>
      </c>
      <c r="C200" s="34">
        <f t="shared" si="26"/>
        <v>194</v>
      </c>
      <c r="D200" s="35">
        <v>276</v>
      </c>
      <c r="E200" s="34">
        <f t="shared" si="23"/>
        <v>2509</v>
      </c>
    </row>
    <row r="201" spans="1:5">
      <c r="A201" s="34">
        <f t="shared" si="24"/>
        <v>20</v>
      </c>
      <c r="B201" s="34">
        <f t="shared" si="25"/>
        <v>5</v>
      </c>
      <c r="C201" s="34">
        <f t="shared" si="26"/>
        <v>195</v>
      </c>
      <c r="D201" s="34">
        <v>32</v>
      </c>
      <c r="E201" s="34">
        <f t="shared" ref="E201:E264" si="27">E200+13</f>
        <v>2522</v>
      </c>
    </row>
    <row r="202" spans="1:5">
      <c r="A202" s="34">
        <f t="shared" si="24"/>
        <v>20</v>
      </c>
      <c r="B202" s="34">
        <f t="shared" si="25"/>
        <v>6</v>
      </c>
      <c r="C202" s="34">
        <f t="shared" si="26"/>
        <v>196</v>
      </c>
      <c r="D202" s="34">
        <v>220</v>
      </c>
      <c r="E202" s="34">
        <f t="shared" si="27"/>
        <v>2535</v>
      </c>
    </row>
    <row r="203" spans="1:5">
      <c r="A203" s="34">
        <f t="shared" si="24"/>
        <v>20</v>
      </c>
      <c r="B203" s="34">
        <f t="shared" si="25"/>
        <v>7</v>
      </c>
      <c r="C203" s="34">
        <f t="shared" si="26"/>
        <v>197</v>
      </c>
      <c r="D203" s="34" t="s">
        <v>92</v>
      </c>
      <c r="E203" s="34">
        <f t="shared" si="27"/>
        <v>2548</v>
      </c>
    </row>
    <row r="204" spans="1:5">
      <c r="A204" s="34">
        <f t="shared" si="24"/>
        <v>20</v>
      </c>
      <c r="B204" s="34">
        <f t="shared" si="25"/>
        <v>8</v>
      </c>
      <c r="C204" s="34">
        <f t="shared" si="26"/>
        <v>198</v>
      </c>
      <c r="D204" s="34">
        <v>15</v>
      </c>
      <c r="E204" s="34">
        <f t="shared" si="27"/>
        <v>2561</v>
      </c>
    </row>
    <row r="205" spans="1:5">
      <c r="A205" s="34">
        <f t="shared" si="24"/>
        <v>20</v>
      </c>
      <c r="B205" s="34">
        <f t="shared" si="25"/>
        <v>9</v>
      </c>
      <c r="C205" s="34">
        <f t="shared" si="26"/>
        <v>199</v>
      </c>
      <c r="D205" s="35">
        <v>1.4</v>
      </c>
      <c r="E205" s="34">
        <f t="shared" si="27"/>
        <v>2574</v>
      </c>
    </row>
    <row r="206" spans="1:5">
      <c r="A206" s="34">
        <f t="shared" si="24"/>
        <v>20</v>
      </c>
      <c r="B206" s="34">
        <f t="shared" si="25"/>
        <v>10</v>
      </c>
      <c r="C206" s="34">
        <f t="shared" si="26"/>
        <v>200</v>
      </c>
      <c r="D206" s="34">
        <v>4992</v>
      </c>
      <c r="E206" s="34">
        <f t="shared" si="27"/>
        <v>2587</v>
      </c>
    </row>
    <row r="207" spans="1:5">
      <c r="A207" s="34">
        <f t="shared" si="24"/>
        <v>21</v>
      </c>
      <c r="B207" s="34">
        <f t="shared" si="25"/>
        <v>1</v>
      </c>
      <c r="C207" s="34">
        <f t="shared" si="26"/>
        <v>201</v>
      </c>
      <c r="D207" s="34">
        <v>4092</v>
      </c>
      <c r="E207" s="34">
        <f t="shared" si="27"/>
        <v>2600</v>
      </c>
    </row>
    <row r="208" spans="1:5">
      <c r="A208" s="34">
        <f t="shared" si="24"/>
        <v>21</v>
      </c>
      <c r="B208" s="34">
        <f t="shared" si="25"/>
        <v>2</v>
      </c>
      <c r="C208" s="34">
        <f t="shared" si="26"/>
        <v>202</v>
      </c>
      <c r="D208" s="34">
        <v>0.82</v>
      </c>
      <c r="E208" s="34">
        <f t="shared" si="27"/>
        <v>2613</v>
      </c>
    </row>
    <row r="209" spans="1:5">
      <c r="A209" s="34">
        <f t="shared" si="24"/>
        <v>21</v>
      </c>
      <c r="B209" s="34">
        <f t="shared" si="25"/>
        <v>3</v>
      </c>
      <c r="C209" s="34">
        <f t="shared" si="26"/>
        <v>203</v>
      </c>
      <c r="D209" s="35">
        <v>598</v>
      </c>
      <c r="E209" s="34">
        <f t="shared" si="27"/>
        <v>2626</v>
      </c>
    </row>
    <row r="210" spans="1:5">
      <c r="A210" s="34">
        <f t="shared" ref="A210:A273" si="28">A200+1</f>
        <v>21</v>
      </c>
      <c r="B210" s="34">
        <f t="shared" ref="B210:B273" si="29">B200</f>
        <v>4</v>
      </c>
      <c r="C210" s="34">
        <f t="shared" si="26"/>
        <v>204</v>
      </c>
      <c r="D210" s="35">
        <v>7121</v>
      </c>
      <c r="E210" s="34">
        <f t="shared" si="27"/>
        <v>2639</v>
      </c>
    </row>
    <row r="211" spans="1:5">
      <c r="A211" s="34">
        <f t="shared" si="28"/>
        <v>21</v>
      </c>
      <c r="B211" s="34">
        <f t="shared" si="29"/>
        <v>5</v>
      </c>
      <c r="C211" s="34">
        <f t="shared" si="26"/>
        <v>205</v>
      </c>
      <c r="D211" s="34">
        <v>1.43</v>
      </c>
      <c r="E211" s="34">
        <f t="shared" si="27"/>
        <v>2652</v>
      </c>
    </row>
    <row r="212" spans="1:5">
      <c r="A212" s="34">
        <f t="shared" si="28"/>
        <v>21</v>
      </c>
      <c r="B212" s="34">
        <f t="shared" si="29"/>
        <v>6</v>
      </c>
      <c r="C212" s="34">
        <f t="shared" si="26"/>
        <v>206</v>
      </c>
      <c r="D212" s="34">
        <v>475</v>
      </c>
      <c r="E212" s="34">
        <f t="shared" si="27"/>
        <v>2665</v>
      </c>
    </row>
    <row r="213" spans="1:5">
      <c r="A213" s="34">
        <f t="shared" si="28"/>
        <v>21</v>
      </c>
      <c r="B213" s="34">
        <f t="shared" si="29"/>
        <v>7</v>
      </c>
      <c r="C213" s="34">
        <f t="shared" si="26"/>
        <v>207</v>
      </c>
      <c r="D213" s="34">
        <v>1040</v>
      </c>
      <c r="E213" s="34">
        <f t="shared" si="27"/>
        <v>2678</v>
      </c>
    </row>
    <row r="214" spans="1:5">
      <c r="A214" s="34">
        <f t="shared" si="28"/>
        <v>21</v>
      </c>
      <c r="B214" s="34">
        <f t="shared" si="29"/>
        <v>8</v>
      </c>
      <c r="C214" s="34">
        <f t="shared" si="26"/>
        <v>208</v>
      </c>
      <c r="D214" s="34">
        <v>95</v>
      </c>
      <c r="E214" s="34">
        <f t="shared" si="27"/>
        <v>2691</v>
      </c>
    </row>
    <row r="215" spans="1:5">
      <c r="A215" s="34">
        <f t="shared" si="28"/>
        <v>21</v>
      </c>
      <c r="B215" s="34">
        <f t="shared" si="29"/>
        <v>9</v>
      </c>
      <c r="C215" s="34">
        <f t="shared" si="26"/>
        <v>209</v>
      </c>
      <c r="D215" s="35">
        <v>221</v>
      </c>
      <c r="E215" s="34">
        <f t="shared" si="27"/>
        <v>2704</v>
      </c>
    </row>
    <row r="216" spans="1:5">
      <c r="A216" s="34">
        <f t="shared" si="28"/>
        <v>21</v>
      </c>
      <c r="B216" s="34">
        <f t="shared" si="29"/>
        <v>10</v>
      </c>
      <c r="C216" s="34">
        <f t="shared" si="26"/>
        <v>210</v>
      </c>
      <c r="D216" s="34" t="s">
        <v>92</v>
      </c>
      <c r="E216" s="34">
        <f t="shared" si="27"/>
        <v>2717</v>
      </c>
    </row>
    <row r="217" spans="1:5">
      <c r="A217" s="34">
        <f t="shared" si="28"/>
        <v>22</v>
      </c>
      <c r="B217" s="34">
        <f t="shared" si="29"/>
        <v>1</v>
      </c>
      <c r="C217" s="34">
        <f t="shared" ref="C217:C280" si="30">C216+1</f>
        <v>211</v>
      </c>
      <c r="D217" s="34">
        <v>10</v>
      </c>
      <c r="E217" s="34">
        <f t="shared" si="27"/>
        <v>2730</v>
      </c>
    </row>
    <row r="218" spans="1:5">
      <c r="A218" s="34">
        <f t="shared" si="28"/>
        <v>22</v>
      </c>
      <c r="B218" s="34">
        <f t="shared" si="29"/>
        <v>2</v>
      </c>
      <c r="C218" s="34">
        <f t="shared" si="30"/>
        <v>212</v>
      </c>
      <c r="D218" s="34">
        <v>2</v>
      </c>
      <c r="E218" s="34">
        <f t="shared" si="27"/>
        <v>2743</v>
      </c>
    </row>
    <row r="219" spans="1:5">
      <c r="A219" s="34">
        <f t="shared" si="28"/>
        <v>22</v>
      </c>
      <c r="B219" s="34">
        <f t="shared" si="29"/>
        <v>3</v>
      </c>
      <c r="C219" s="34">
        <f t="shared" si="30"/>
        <v>213</v>
      </c>
      <c r="D219" s="35">
        <v>4992</v>
      </c>
      <c r="E219" s="34">
        <f t="shared" si="27"/>
        <v>2756</v>
      </c>
    </row>
    <row r="220" spans="1:5">
      <c r="A220" s="34">
        <f t="shared" si="28"/>
        <v>22</v>
      </c>
      <c r="B220" s="34">
        <f t="shared" si="29"/>
        <v>4</v>
      </c>
      <c r="C220" s="34">
        <f t="shared" si="30"/>
        <v>214</v>
      </c>
      <c r="D220" s="35">
        <v>6687</v>
      </c>
      <c r="E220" s="34">
        <f t="shared" si="27"/>
        <v>2769</v>
      </c>
    </row>
    <row r="221" spans="1:5">
      <c r="A221" s="34">
        <f t="shared" si="28"/>
        <v>22</v>
      </c>
      <c r="B221" s="34">
        <f t="shared" si="29"/>
        <v>5</v>
      </c>
      <c r="C221" s="34">
        <f t="shared" si="30"/>
        <v>215</v>
      </c>
      <c r="D221" s="34">
        <v>1.34</v>
      </c>
      <c r="E221" s="34">
        <f t="shared" si="27"/>
        <v>2782</v>
      </c>
    </row>
    <row r="222" spans="1:5">
      <c r="A222" s="34">
        <f t="shared" si="28"/>
        <v>22</v>
      </c>
      <c r="B222" s="34">
        <f t="shared" si="29"/>
        <v>6</v>
      </c>
      <c r="C222" s="34">
        <f t="shared" si="30"/>
        <v>216</v>
      </c>
      <c r="D222" s="34">
        <v>676</v>
      </c>
      <c r="E222" s="34">
        <f t="shared" si="27"/>
        <v>2795</v>
      </c>
    </row>
    <row r="223" spans="1:5">
      <c r="A223" s="34">
        <f t="shared" si="28"/>
        <v>22</v>
      </c>
      <c r="B223" s="34">
        <f t="shared" si="29"/>
        <v>7</v>
      </c>
      <c r="C223" s="34">
        <f t="shared" si="30"/>
        <v>217</v>
      </c>
      <c r="D223" s="35">
        <v>6531</v>
      </c>
      <c r="E223" s="34">
        <f t="shared" si="27"/>
        <v>2808</v>
      </c>
    </row>
    <row r="224" spans="1:5">
      <c r="A224" s="34">
        <f t="shared" si="28"/>
        <v>22</v>
      </c>
      <c r="B224" s="34">
        <f t="shared" si="29"/>
        <v>8</v>
      </c>
      <c r="C224" s="34">
        <f t="shared" si="30"/>
        <v>218</v>
      </c>
      <c r="D224" s="34">
        <v>1.31</v>
      </c>
      <c r="E224" s="34">
        <f t="shared" si="27"/>
        <v>2821</v>
      </c>
    </row>
    <row r="225" spans="1:5">
      <c r="A225" s="34">
        <f t="shared" si="28"/>
        <v>22</v>
      </c>
      <c r="B225" s="34">
        <f t="shared" si="29"/>
        <v>9</v>
      </c>
      <c r="C225" s="34">
        <f t="shared" si="30"/>
        <v>219</v>
      </c>
      <c r="D225" s="35">
        <v>653</v>
      </c>
      <c r="E225" s="34">
        <f t="shared" si="27"/>
        <v>2834</v>
      </c>
    </row>
    <row r="226" spans="1:5">
      <c r="A226" s="34">
        <f t="shared" si="28"/>
        <v>22</v>
      </c>
      <c r="B226" s="34">
        <f t="shared" si="29"/>
        <v>10</v>
      </c>
      <c r="C226" s="34">
        <f t="shared" si="30"/>
        <v>220</v>
      </c>
      <c r="D226" s="34">
        <v>661</v>
      </c>
      <c r="E226" s="34">
        <f t="shared" si="27"/>
        <v>2847</v>
      </c>
    </row>
    <row r="227" spans="1:5">
      <c r="A227" s="34">
        <f t="shared" si="28"/>
        <v>23</v>
      </c>
      <c r="B227" s="34">
        <f t="shared" si="29"/>
        <v>1</v>
      </c>
      <c r="C227" s="34">
        <f t="shared" si="30"/>
        <v>221</v>
      </c>
      <c r="D227" s="34">
        <v>131</v>
      </c>
      <c r="E227" s="34">
        <f t="shared" si="27"/>
        <v>2860</v>
      </c>
    </row>
    <row r="228" spans="1:5">
      <c r="A228" s="34">
        <f t="shared" si="28"/>
        <v>23</v>
      </c>
      <c r="B228" s="34">
        <f t="shared" si="29"/>
        <v>2</v>
      </c>
      <c r="C228" s="34">
        <f t="shared" si="30"/>
        <v>222</v>
      </c>
      <c r="D228" s="34">
        <v>222</v>
      </c>
      <c r="E228" s="34">
        <f t="shared" si="27"/>
        <v>2873</v>
      </c>
    </row>
    <row r="229" spans="1:5">
      <c r="A229" s="34">
        <f t="shared" si="28"/>
        <v>23</v>
      </c>
      <c r="B229" s="34">
        <f t="shared" si="29"/>
        <v>3</v>
      </c>
      <c r="C229" s="34">
        <f t="shared" si="30"/>
        <v>223</v>
      </c>
      <c r="D229" s="35" t="s">
        <v>92</v>
      </c>
      <c r="E229" s="34">
        <f t="shared" si="27"/>
        <v>2886</v>
      </c>
    </row>
    <row r="230" spans="1:5">
      <c r="A230" s="34">
        <f t="shared" si="28"/>
        <v>23</v>
      </c>
      <c r="B230" s="34">
        <f t="shared" si="29"/>
        <v>4</v>
      </c>
      <c r="C230" s="34">
        <f t="shared" si="30"/>
        <v>224</v>
      </c>
      <c r="D230" s="35">
        <v>15</v>
      </c>
      <c r="E230" s="34">
        <f t="shared" si="27"/>
        <v>2899</v>
      </c>
    </row>
    <row r="231" spans="1:5">
      <c r="A231" s="34">
        <f t="shared" si="28"/>
        <v>23</v>
      </c>
      <c r="B231" s="34">
        <f t="shared" si="29"/>
        <v>5</v>
      </c>
      <c r="C231" s="34">
        <f t="shared" si="30"/>
        <v>225</v>
      </c>
      <c r="D231" s="34">
        <v>1.9</v>
      </c>
      <c r="E231" s="34">
        <f t="shared" si="27"/>
        <v>2912</v>
      </c>
    </row>
    <row r="232" spans="1:5">
      <c r="A232" s="34">
        <f t="shared" si="28"/>
        <v>23</v>
      </c>
      <c r="B232" s="34">
        <f t="shared" si="29"/>
        <v>6</v>
      </c>
      <c r="C232" s="34">
        <f t="shared" si="30"/>
        <v>226</v>
      </c>
      <c r="D232" s="34">
        <v>4992</v>
      </c>
      <c r="E232" s="34">
        <f t="shared" si="27"/>
        <v>2925</v>
      </c>
    </row>
    <row r="233" spans="1:5">
      <c r="A233" s="34">
        <f t="shared" si="28"/>
        <v>23</v>
      </c>
      <c r="B233" s="34">
        <f t="shared" si="29"/>
        <v>7</v>
      </c>
      <c r="C233" s="34">
        <f t="shared" si="30"/>
        <v>227</v>
      </c>
      <c r="D233" s="35">
        <v>6279</v>
      </c>
      <c r="E233" s="34">
        <f t="shared" si="27"/>
        <v>2938</v>
      </c>
    </row>
    <row r="234" spans="1:5">
      <c r="A234" s="34">
        <f t="shared" si="28"/>
        <v>23</v>
      </c>
      <c r="B234" s="34">
        <f t="shared" si="29"/>
        <v>8</v>
      </c>
      <c r="C234" s="34">
        <f t="shared" si="30"/>
        <v>228</v>
      </c>
      <c r="D234" s="34">
        <v>1.26</v>
      </c>
      <c r="E234" s="34">
        <f t="shared" si="27"/>
        <v>2951</v>
      </c>
    </row>
    <row r="235" spans="1:5">
      <c r="A235" s="34">
        <f t="shared" si="28"/>
        <v>23</v>
      </c>
      <c r="B235" s="34">
        <f t="shared" si="29"/>
        <v>9</v>
      </c>
      <c r="C235" s="34">
        <f t="shared" si="30"/>
        <v>229</v>
      </c>
      <c r="D235" s="35">
        <v>680</v>
      </c>
      <c r="E235" s="34">
        <f t="shared" si="27"/>
        <v>2964</v>
      </c>
    </row>
    <row r="236" spans="1:5">
      <c r="A236" s="34">
        <f t="shared" si="28"/>
        <v>23</v>
      </c>
      <c r="B236" s="34">
        <f t="shared" si="29"/>
        <v>10</v>
      </c>
      <c r="C236" s="34">
        <f t="shared" si="30"/>
        <v>230</v>
      </c>
      <c r="D236" s="34">
        <v>6736</v>
      </c>
      <c r="E236" s="34">
        <f t="shared" si="27"/>
        <v>2977</v>
      </c>
    </row>
    <row r="237" spans="1:5">
      <c r="A237" s="34">
        <f t="shared" si="28"/>
        <v>24</v>
      </c>
      <c r="B237" s="34">
        <f t="shared" si="29"/>
        <v>1</v>
      </c>
      <c r="C237" s="34">
        <f t="shared" si="30"/>
        <v>231</v>
      </c>
      <c r="D237" s="34">
        <v>1.35</v>
      </c>
      <c r="E237" s="34">
        <f t="shared" si="27"/>
        <v>2990</v>
      </c>
    </row>
    <row r="238" spans="1:5">
      <c r="A238" s="34">
        <f t="shared" si="28"/>
        <v>24</v>
      </c>
      <c r="B238" s="34">
        <f t="shared" si="29"/>
        <v>2</v>
      </c>
      <c r="C238" s="34">
        <f t="shared" si="30"/>
        <v>232</v>
      </c>
      <c r="D238" s="34">
        <v>449</v>
      </c>
      <c r="E238" s="34">
        <f t="shared" si="27"/>
        <v>3003</v>
      </c>
    </row>
    <row r="239" spans="1:5">
      <c r="A239" s="34">
        <f t="shared" si="28"/>
        <v>24</v>
      </c>
      <c r="B239" s="34">
        <f t="shared" si="29"/>
        <v>3</v>
      </c>
      <c r="C239" s="34">
        <f t="shared" si="30"/>
        <v>233</v>
      </c>
      <c r="D239" s="35">
        <v>729</v>
      </c>
      <c r="E239" s="34">
        <f t="shared" si="27"/>
        <v>3016</v>
      </c>
    </row>
    <row r="240" spans="1:5">
      <c r="A240" s="34">
        <f t="shared" si="28"/>
        <v>24</v>
      </c>
      <c r="B240" s="34">
        <f t="shared" si="29"/>
        <v>4</v>
      </c>
      <c r="C240" s="34">
        <f t="shared" si="30"/>
        <v>234</v>
      </c>
      <c r="D240" s="35">
        <v>90</v>
      </c>
      <c r="E240" s="34">
        <f t="shared" si="27"/>
        <v>3029</v>
      </c>
    </row>
    <row r="241" spans="1:5">
      <c r="A241" s="34">
        <f t="shared" si="28"/>
        <v>24</v>
      </c>
      <c r="B241" s="34">
        <f t="shared" si="29"/>
        <v>5</v>
      </c>
      <c r="C241" s="34">
        <f t="shared" si="30"/>
        <v>235</v>
      </c>
      <c r="D241" s="34">
        <v>223</v>
      </c>
      <c r="E241" s="34">
        <f t="shared" si="27"/>
        <v>3042</v>
      </c>
    </row>
    <row r="242" spans="1:5">
      <c r="A242" s="34">
        <f t="shared" si="28"/>
        <v>24</v>
      </c>
      <c r="B242" s="34">
        <f t="shared" si="29"/>
        <v>6</v>
      </c>
      <c r="C242" s="34">
        <f t="shared" si="30"/>
        <v>236</v>
      </c>
      <c r="D242" s="34" t="s">
        <v>92</v>
      </c>
      <c r="E242" s="34">
        <f t="shared" si="27"/>
        <v>3055</v>
      </c>
    </row>
    <row r="243" spans="1:5">
      <c r="A243" s="34">
        <f t="shared" si="28"/>
        <v>24</v>
      </c>
      <c r="B243" s="34">
        <f t="shared" si="29"/>
        <v>7</v>
      </c>
      <c r="C243" s="34">
        <f t="shared" si="30"/>
        <v>237</v>
      </c>
      <c r="D243" s="35">
        <v>15</v>
      </c>
      <c r="E243" s="34">
        <f t="shared" si="27"/>
        <v>3068</v>
      </c>
    </row>
    <row r="244" spans="1:5">
      <c r="A244" s="34">
        <f t="shared" si="28"/>
        <v>24</v>
      </c>
      <c r="B244" s="34">
        <f t="shared" si="29"/>
        <v>8</v>
      </c>
      <c r="C244" s="34">
        <f t="shared" si="30"/>
        <v>238</v>
      </c>
      <c r="D244" s="34">
        <v>2.4</v>
      </c>
      <c r="E244" s="34">
        <f t="shared" si="27"/>
        <v>3081</v>
      </c>
    </row>
    <row r="245" spans="1:5">
      <c r="A245" s="34">
        <f t="shared" si="28"/>
        <v>24</v>
      </c>
      <c r="B245" s="34">
        <f t="shared" si="29"/>
        <v>9</v>
      </c>
      <c r="C245" s="34">
        <f t="shared" si="30"/>
        <v>239</v>
      </c>
      <c r="D245" s="35">
        <v>4992</v>
      </c>
      <c r="E245" s="34">
        <f t="shared" si="27"/>
        <v>3094</v>
      </c>
    </row>
    <row r="246" spans="1:5">
      <c r="A246" s="34">
        <f t="shared" si="28"/>
        <v>24</v>
      </c>
      <c r="B246" s="34">
        <f t="shared" si="29"/>
        <v>10</v>
      </c>
      <c r="C246" s="34">
        <f t="shared" si="30"/>
        <v>240</v>
      </c>
      <c r="D246" s="34">
        <v>7892</v>
      </c>
      <c r="E246" s="34">
        <f t="shared" si="27"/>
        <v>3107</v>
      </c>
    </row>
    <row r="247" spans="1:5">
      <c r="A247" s="34">
        <f t="shared" si="28"/>
        <v>25</v>
      </c>
      <c r="B247" s="34">
        <f t="shared" si="29"/>
        <v>1</v>
      </c>
      <c r="C247" s="34">
        <f t="shared" si="30"/>
        <v>241</v>
      </c>
      <c r="D247" s="34">
        <v>1.58</v>
      </c>
      <c r="E247" s="34">
        <f t="shared" si="27"/>
        <v>3120</v>
      </c>
    </row>
    <row r="248" spans="1:5">
      <c r="A248" s="34">
        <f t="shared" si="28"/>
        <v>25</v>
      </c>
      <c r="B248" s="34">
        <f t="shared" si="29"/>
        <v>2</v>
      </c>
      <c r="C248" s="34">
        <f t="shared" si="30"/>
        <v>242</v>
      </c>
      <c r="D248" s="34">
        <v>648</v>
      </c>
      <c r="E248" s="34">
        <f t="shared" si="27"/>
        <v>3133</v>
      </c>
    </row>
    <row r="249" spans="1:5">
      <c r="A249" s="34">
        <f t="shared" si="28"/>
        <v>25</v>
      </c>
      <c r="B249" s="34">
        <f t="shared" si="29"/>
        <v>3</v>
      </c>
      <c r="C249" s="34">
        <f t="shared" si="30"/>
        <v>243</v>
      </c>
      <c r="D249" s="35">
        <v>10219</v>
      </c>
      <c r="E249" s="34">
        <f t="shared" si="27"/>
        <v>3146</v>
      </c>
    </row>
    <row r="250" spans="1:5">
      <c r="A250" s="34">
        <f t="shared" si="28"/>
        <v>25</v>
      </c>
      <c r="B250" s="34">
        <f t="shared" si="29"/>
        <v>4</v>
      </c>
      <c r="C250" s="34">
        <f t="shared" si="30"/>
        <v>244</v>
      </c>
      <c r="D250" s="35">
        <v>2.0499999999999998</v>
      </c>
      <c r="E250" s="34">
        <f t="shared" si="27"/>
        <v>3159</v>
      </c>
    </row>
    <row r="251" spans="1:5">
      <c r="A251" s="34">
        <f t="shared" si="28"/>
        <v>25</v>
      </c>
      <c r="B251" s="34">
        <f t="shared" si="29"/>
        <v>5</v>
      </c>
      <c r="C251" s="34">
        <f t="shared" si="30"/>
        <v>245</v>
      </c>
      <c r="D251" s="34">
        <v>681</v>
      </c>
      <c r="E251" s="34">
        <f t="shared" si="27"/>
        <v>3172</v>
      </c>
    </row>
    <row r="252" spans="1:5">
      <c r="A252" s="34">
        <f t="shared" si="28"/>
        <v>25</v>
      </c>
      <c r="B252" s="34">
        <f t="shared" si="29"/>
        <v>6</v>
      </c>
      <c r="C252" s="34">
        <f t="shared" si="30"/>
        <v>246</v>
      </c>
      <c r="D252" s="34">
        <v>839</v>
      </c>
      <c r="E252" s="34">
        <f t="shared" si="27"/>
        <v>3185</v>
      </c>
    </row>
    <row r="253" spans="1:5">
      <c r="A253" s="34">
        <f t="shared" si="28"/>
        <v>25</v>
      </c>
      <c r="B253" s="34">
        <f t="shared" si="29"/>
        <v>7</v>
      </c>
      <c r="C253" s="34">
        <f t="shared" si="30"/>
        <v>247</v>
      </c>
      <c r="D253" s="34">
        <v>136</v>
      </c>
      <c r="E253" s="34">
        <f t="shared" si="27"/>
        <v>3198</v>
      </c>
    </row>
    <row r="254" spans="1:5">
      <c r="A254" s="34">
        <f t="shared" si="28"/>
        <v>25</v>
      </c>
      <c r="B254" s="34">
        <f t="shared" si="29"/>
        <v>8</v>
      </c>
      <c r="C254" s="34">
        <f t="shared" si="30"/>
        <v>248</v>
      </c>
      <c r="D254" s="34">
        <v>224</v>
      </c>
      <c r="E254" s="34">
        <f t="shared" si="27"/>
        <v>3211</v>
      </c>
    </row>
    <row r="255" spans="1:5">
      <c r="A255" s="34">
        <f t="shared" si="28"/>
        <v>25</v>
      </c>
      <c r="B255" s="34">
        <f t="shared" si="29"/>
        <v>9</v>
      </c>
      <c r="C255" s="34">
        <f t="shared" si="30"/>
        <v>249</v>
      </c>
      <c r="D255" s="34" t="s">
        <v>92</v>
      </c>
      <c r="E255" s="34">
        <f t="shared" si="27"/>
        <v>3224</v>
      </c>
    </row>
    <row r="256" spans="1:5">
      <c r="A256" s="34">
        <f t="shared" si="28"/>
        <v>25</v>
      </c>
      <c r="B256" s="34">
        <f t="shared" si="29"/>
        <v>10</v>
      </c>
      <c r="C256" s="34">
        <f t="shared" si="30"/>
        <v>250</v>
      </c>
      <c r="D256" s="34">
        <v>10</v>
      </c>
      <c r="E256" s="34">
        <f t="shared" si="27"/>
        <v>3237</v>
      </c>
    </row>
    <row r="257" spans="1:5">
      <c r="A257" s="34">
        <f t="shared" si="28"/>
        <v>26</v>
      </c>
      <c r="B257" s="34">
        <f t="shared" si="29"/>
        <v>1</v>
      </c>
      <c r="C257" s="34">
        <f t="shared" si="30"/>
        <v>251</v>
      </c>
      <c r="D257" s="34">
        <v>1.7</v>
      </c>
      <c r="E257" s="34">
        <f t="shared" si="27"/>
        <v>3250</v>
      </c>
    </row>
    <row r="258" spans="1:5">
      <c r="A258" s="34">
        <f t="shared" si="28"/>
        <v>26</v>
      </c>
      <c r="B258" s="34">
        <f t="shared" si="29"/>
        <v>2</v>
      </c>
      <c r="C258" s="34">
        <f t="shared" si="30"/>
        <v>252</v>
      </c>
      <c r="D258" s="34">
        <v>5200</v>
      </c>
      <c r="E258" s="34">
        <f t="shared" si="27"/>
        <v>3263</v>
      </c>
    </row>
    <row r="259" spans="1:5">
      <c r="A259" s="34">
        <f t="shared" si="28"/>
        <v>26</v>
      </c>
      <c r="B259" s="34">
        <f t="shared" si="29"/>
        <v>3</v>
      </c>
      <c r="C259" s="34">
        <f t="shared" si="30"/>
        <v>253</v>
      </c>
      <c r="D259" s="35">
        <v>5565</v>
      </c>
      <c r="E259" s="34">
        <f t="shared" si="27"/>
        <v>3276</v>
      </c>
    </row>
    <row r="260" spans="1:5">
      <c r="A260" s="34">
        <f t="shared" si="28"/>
        <v>26</v>
      </c>
      <c r="B260" s="34">
        <f t="shared" si="29"/>
        <v>4</v>
      </c>
      <c r="C260" s="34">
        <f t="shared" si="30"/>
        <v>254</v>
      </c>
      <c r="D260" s="35">
        <v>1.07</v>
      </c>
      <c r="E260" s="34">
        <f t="shared" si="27"/>
        <v>3289</v>
      </c>
    </row>
    <row r="261" spans="1:5">
      <c r="A261" s="34">
        <f t="shared" si="28"/>
        <v>26</v>
      </c>
      <c r="B261" s="34">
        <f t="shared" si="29"/>
        <v>5</v>
      </c>
      <c r="C261" s="34">
        <f t="shared" si="30"/>
        <v>255</v>
      </c>
      <c r="D261" s="34">
        <v>630</v>
      </c>
      <c r="E261" s="34">
        <f t="shared" si="27"/>
        <v>3302</v>
      </c>
    </row>
    <row r="262" spans="1:5">
      <c r="A262" s="34">
        <f t="shared" si="28"/>
        <v>26</v>
      </c>
      <c r="B262" s="34">
        <f t="shared" si="29"/>
        <v>6</v>
      </c>
      <c r="C262" s="34">
        <f t="shared" si="30"/>
        <v>256</v>
      </c>
      <c r="D262" s="34">
        <v>8465</v>
      </c>
      <c r="E262" s="34">
        <f t="shared" si="27"/>
        <v>3315</v>
      </c>
    </row>
    <row r="263" spans="1:5">
      <c r="A263" s="34">
        <f t="shared" si="28"/>
        <v>26</v>
      </c>
      <c r="B263" s="34">
        <f t="shared" si="29"/>
        <v>7</v>
      </c>
      <c r="C263" s="34">
        <f t="shared" si="30"/>
        <v>257</v>
      </c>
      <c r="D263" s="35">
        <v>1.63</v>
      </c>
      <c r="E263" s="34">
        <f t="shared" si="27"/>
        <v>3328</v>
      </c>
    </row>
    <row r="264" spans="1:5">
      <c r="A264" s="34">
        <f t="shared" si="28"/>
        <v>26</v>
      </c>
      <c r="B264" s="34">
        <f t="shared" si="29"/>
        <v>8</v>
      </c>
      <c r="C264" s="34">
        <f t="shared" si="30"/>
        <v>258</v>
      </c>
      <c r="D264" s="34">
        <v>847</v>
      </c>
      <c r="E264" s="34">
        <f t="shared" si="27"/>
        <v>3341</v>
      </c>
    </row>
    <row r="265" spans="1:5">
      <c r="A265" s="34">
        <f t="shared" si="28"/>
        <v>26</v>
      </c>
      <c r="B265" s="34">
        <f t="shared" si="29"/>
        <v>9</v>
      </c>
      <c r="C265" s="34">
        <f t="shared" si="30"/>
        <v>259</v>
      </c>
      <c r="D265" s="35">
        <v>958</v>
      </c>
      <c r="E265" s="34">
        <f t="shared" ref="E265:E328" si="31">E264+13</f>
        <v>3354</v>
      </c>
    </row>
    <row r="266" spans="1:5">
      <c r="A266" s="34">
        <f t="shared" si="28"/>
        <v>26</v>
      </c>
      <c r="B266" s="34">
        <f t="shared" si="29"/>
        <v>10</v>
      </c>
      <c r="C266" s="34">
        <f t="shared" si="30"/>
        <v>260</v>
      </c>
      <c r="D266" s="34">
        <v>163</v>
      </c>
      <c r="E266" s="34">
        <f t="shared" si="31"/>
        <v>3367</v>
      </c>
    </row>
    <row r="267" spans="1:5">
      <c r="A267" s="34">
        <f t="shared" si="28"/>
        <v>27</v>
      </c>
      <c r="B267" s="34">
        <f t="shared" si="29"/>
        <v>1</v>
      </c>
      <c r="C267" s="34">
        <f t="shared" si="30"/>
        <v>261</v>
      </c>
      <c r="D267" s="34">
        <v>225</v>
      </c>
      <c r="E267" s="34">
        <f t="shared" si="31"/>
        <v>3380</v>
      </c>
    </row>
    <row r="268" spans="1:5">
      <c r="A268" s="34">
        <f t="shared" si="28"/>
        <v>27</v>
      </c>
      <c r="B268" s="34">
        <f t="shared" si="29"/>
        <v>2</v>
      </c>
      <c r="C268" s="34">
        <f t="shared" si="30"/>
        <v>262</v>
      </c>
      <c r="D268" s="34" t="s">
        <v>92</v>
      </c>
      <c r="E268" s="34">
        <f t="shared" si="31"/>
        <v>3393</v>
      </c>
    </row>
    <row r="269" spans="1:5">
      <c r="A269" s="34">
        <f t="shared" si="28"/>
        <v>27</v>
      </c>
      <c r="B269" s="34">
        <f t="shared" si="29"/>
        <v>3</v>
      </c>
      <c r="C269" s="34">
        <f t="shared" si="30"/>
        <v>263</v>
      </c>
      <c r="D269" s="35">
        <v>10</v>
      </c>
      <c r="E269" s="34">
        <f t="shared" si="31"/>
        <v>3406</v>
      </c>
    </row>
    <row r="270" spans="1:5">
      <c r="A270" s="34">
        <f t="shared" si="28"/>
        <v>27</v>
      </c>
      <c r="B270" s="34">
        <f t="shared" si="29"/>
        <v>4</v>
      </c>
      <c r="C270" s="34">
        <f t="shared" si="30"/>
        <v>264</v>
      </c>
      <c r="D270" s="35">
        <v>2</v>
      </c>
      <c r="E270" s="34">
        <f t="shared" si="31"/>
        <v>3419</v>
      </c>
    </row>
    <row r="271" spans="1:5">
      <c r="A271" s="34">
        <f t="shared" si="28"/>
        <v>27</v>
      </c>
      <c r="B271" s="34">
        <f t="shared" si="29"/>
        <v>5</v>
      </c>
      <c r="C271" s="34">
        <f t="shared" si="30"/>
        <v>265</v>
      </c>
      <c r="D271" s="35">
        <v>5200</v>
      </c>
      <c r="E271" s="34">
        <f t="shared" si="31"/>
        <v>3432</v>
      </c>
    </row>
    <row r="272" spans="1:5">
      <c r="A272" s="34">
        <f t="shared" si="28"/>
        <v>27</v>
      </c>
      <c r="B272" s="34">
        <f t="shared" si="29"/>
        <v>6</v>
      </c>
      <c r="C272" s="34">
        <f t="shared" si="30"/>
        <v>266</v>
      </c>
      <c r="D272" s="34">
        <v>7107</v>
      </c>
      <c r="E272" s="34">
        <f t="shared" si="31"/>
        <v>3445</v>
      </c>
    </row>
    <row r="273" spans="1:5">
      <c r="A273" s="34">
        <f t="shared" si="28"/>
        <v>27</v>
      </c>
      <c r="B273" s="34">
        <f t="shared" si="29"/>
        <v>7</v>
      </c>
      <c r="C273" s="34">
        <f t="shared" si="30"/>
        <v>267</v>
      </c>
      <c r="D273" s="35">
        <v>1.37</v>
      </c>
      <c r="E273" s="34">
        <f t="shared" si="31"/>
        <v>3458</v>
      </c>
    </row>
    <row r="274" spans="1:5">
      <c r="A274" s="34">
        <f t="shared" ref="A274:A286" si="32">A264+1</f>
        <v>27</v>
      </c>
      <c r="B274" s="34">
        <f t="shared" ref="B274:B286" si="33">B264</f>
        <v>8</v>
      </c>
      <c r="C274" s="34">
        <f t="shared" si="30"/>
        <v>268</v>
      </c>
      <c r="D274" s="34">
        <v>699</v>
      </c>
      <c r="E274" s="34">
        <f t="shared" si="31"/>
        <v>3471</v>
      </c>
    </row>
    <row r="275" spans="1:5">
      <c r="A275" s="34">
        <f t="shared" si="32"/>
        <v>27</v>
      </c>
      <c r="B275" s="34">
        <f t="shared" si="33"/>
        <v>9</v>
      </c>
      <c r="C275" s="34">
        <f t="shared" si="30"/>
        <v>269</v>
      </c>
      <c r="D275" s="35">
        <v>7107</v>
      </c>
      <c r="E275" s="34">
        <f t="shared" si="31"/>
        <v>3484</v>
      </c>
    </row>
    <row r="276" spans="1:5">
      <c r="A276" s="34">
        <f t="shared" si="32"/>
        <v>27</v>
      </c>
      <c r="B276" s="34">
        <f t="shared" si="33"/>
        <v>10</v>
      </c>
      <c r="C276" s="34">
        <f t="shared" si="30"/>
        <v>270</v>
      </c>
      <c r="D276" s="34">
        <v>1.37</v>
      </c>
      <c r="E276" s="34">
        <f t="shared" si="31"/>
        <v>3497</v>
      </c>
    </row>
    <row r="277" spans="1:5">
      <c r="A277" s="34">
        <f t="shared" si="32"/>
        <v>28</v>
      </c>
      <c r="B277" s="34">
        <f t="shared" si="33"/>
        <v>1</v>
      </c>
      <c r="C277" s="34">
        <f t="shared" si="30"/>
        <v>271</v>
      </c>
      <c r="D277" s="34">
        <v>711</v>
      </c>
      <c r="E277" s="34">
        <f t="shared" si="31"/>
        <v>3510</v>
      </c>
    </row>
    <row r="278" spans="1:5">
      <c r="A278" s="34">
        <f t="shared" si="32"/>
        <v>28</v>
      </c>
      <c r="B278" s="34">
        <f t="shared" si="33"/>
        <v>2</v>
      </c>
      <c r="C278" s="34">
        <f t="shared" si="30"/>
        <v>272</v>
      </c>
      <c r="D278" s="34">
        <v>699</v>
      </c>
      <c r="E278" s="34">
        <f t="shared" si="31"/>
        <v>3523</v>
      </c>
    </row>
    <row r="279" spans="1:5">
      <c r="A279" s="34">
        <f t="shared" si="32"/>
        <v>28</v>
      </c>
      <c r="B279" s="34">
        <f t="shared" si="33"/>
        <v>3</v>
      </c>
      <c r="C279" s="34">
        <f t="shared" si="30"/>
        <v>273</v>
      </c>
      <c r="D279" s="35">
        <v>137</v>
      </c>
      <c r="E279" s="34">
        <f t="shared" si="31"/>
        <v>3536</v>
      </c>
    </row>
    <row r="280" spans="1:5">
      <c r="A280" s="34">
        <f t="shared" si="32"/>
        <v>28</v>
      </c>
      <c r="B280" s="34">
        <f t="shared" si="33"/>
        <v>4</v>
      </c>
      <c r="C280" s="34">
        <f t="shared" si="30"/>
        <v>274</v>
      </c>
      <c r="D280" s="35">
        <v>226</v>
      </c>
      <c r="E280" s="34">
        <f t="shared" si="31"/>
        <v>3549</v>
      </c>
    </row>
    <row r="281" spans="1:5">
      <c r="A281" s="34">
        <f t="shared" si="32"/>
        <v>28</v>
      </c>
      <c r="B281" s="34">
        <f t="shared" si="33"/>
        <v>5</v>
      </c>
      <c r="C281" s="34">
        <f t="shared" ref="C281:C344" si="34">C280+1</f>
        <v>275</v>
      </c>
      <c r="D281" s="35" t="s">
        <v>92</v>
      </c>
      <c r="E281" s="34">
        <f t="shared" si="31"/>
        <v>3562</v>
      </c>
    </row>
    <row r="282" spans="1:5">
      <c r="A282" s="34">
        <f t="shared" si="32"/>
        <v>28</v>
      </c>
      <c r="B282" s="34">
        <f t="shared" si="33"/>
        <v>6</v>
      </c>
      <c r="C282" s="34">
        <f t="shared" si="34"/>
        <v>276</v>
      </c>
      <c r="D282" s="34">
        <v>12.5</v>
      </c>
      <c r="E282" s="34">
        <f t="shared" si="31"/>
        <v>3575</v>
      </c>
    </row>
    <row r="283" spans="1:5">
      <c r="A283" s="34">
        <f t="shared" si="32"/>
        <v>28</v>
      </c>
      <c r="B283" s="34">
        <f t="shared" si="33"/>
        <v>7</v>
      </c>
      <c r="C283" s="34">
        <f t="shared" si="34"/>
        <v>277</v>
      </c>
      <c r="D283" s="35">
        <v>3.4</v>
      </c>
      <c r="E283" s="34">
        <f t="shared" si="31"/>
        <v>3588</v>
      </c>
    </row>
    <row r="284" spans="1:5">
      <c r="A284" s="34">
        <f t="shared" si="32"/>
        <v>28</v>
      </c>
      <c r="B284" s="34">
        <f t="shared" si="33"/>
        <v>8</v>
      </c>
      <c r="C284" s="34">
        <f t="shared" si="34"/>
        <v>278</v>
      </c>
      <c r="D284" s="34">
        <v>4992</v>
      </c>
      <c r="E284" s="34">
        <f t="shared" si="31"/>
        <v>3601</v>
      </c>
    </row>
    <row r="285" spans="1:5">
      <c r="A285" s="34">
        <f t="shared" si="32"/>
        <v>28</v>
      </c>
      <c r="B285" s="34">
        <f t="shared" si="33"/>
        <v>9</v>
      </c>
      <c r="C285" s="34">
        <f t="shared" si="34"/>
        <v>279</v>
      </c>
      <c r="D285" s="35">
        <v>10040</v>
      </c>
      <c r="E285" s="34">
        <f t="shared" si="31"/>
        <v>3614</v>
      </c>
    </row>
    <row r="286" spans="1:5">
      <c r="A286" s="34">
        <f t="shared" si="32"/>
        <v>28</v>
      </c>
      <c r="B286" s="34">
        <f t="shared" si="33"/>
        <v>10</v>
      </c>
      <c r="C286" s="34">
        <f t="shared" si="34"/>
        <v>280</v>
      </c>
      <c r="D286" s="34">
        <v>2.0099999999999998</v>
      </c>
      <c r="E286" s="34">
        <f t="shared" si="31"/>
        <v>3627</v>
      </c>
    </row>
    <row r="287" spans="1:5">
      <c r="A287" s="34"/>
      <c r="B287" s="34"/>
      <c r="C287" s="34">
        <f t="shared" si="34"/>
        <v>281</v>
      </c>
      <c r="D287" s="34">
        <v>594</v>
      </c>
      <c r="E287" s="34">
        <f t="shared" si="31"/>
        <v>3640</v>
      </c>
    </row>
    <row r="288" spans="1:5">
      <c r="A288" s="34"/>
      <c r="B288" s="34"/>
      <c r="C288" s="34">
        <f t="shared" si="34"/>
        <v>282</v>
      </c>
      <c r="D288" s="34">
        <v>13105</v>
      </c>
      <c r="E288" s="34">
        <f t="shared" si="31"/>
        <v>3653</v>
      </c>
    </row>
    <row r="289" spans="1:5">
      <c r="A289" s="34"/>
      <c r="B289" s="34"/>
      <c r="C289" s="34">
        <f t="shared" si="34"/>
        <v>283</v>
      </c>
      <c r="D289" s="35">
        <v>2.63</v>
      </c>
      <c r="E289" s="34">
        <f t="shared" si="31"/>
        <v>3666</v>
      </c>
    </row>
    <row r="290" spans="1:5">
      <c r="A290" s="34"/>
      <c r="B290" s="34"/>
      <c r="C290" s="34">
        <f t="shared" si="34"/>
        <v>284</v>
      </c>
      <c r="D290" s="35">
        <v>1048</v>
      </c>
      <c r="E290" s="34">
        <f t="shared" si="31"/>
        <v>3679</v>
      </c>
    </row>
    <row r="291" spans="1:5">
      <c r="A291" s="34"/>
      <c r="B291" s="34"/>
      <c r="C291" s="34">
        <f t="shared" si="34"/>
        <v>285</v>
      </c>
      <c r="D291" s="35">
        <v>775</v>
      </c>
      <c r="E291" s="34">
        <f t="shared" si="31"/>
        <v>3692</v>
      </c>
    </row>
    <row r="292" spans="1:5">
      <c r="A292" s="34"/>
      <c r="B292" s="34"/>
      <c r="C292" s="34">
        <f t="shared" si="34"/>
        <v>286</v>
      </c>
      <c r="D292" s="34">
        <v>210</v>
      </c>
      <c r="E292" s="34">
        <f t="shared" si="31"/>
        <v>3705</v>
      </c>
    </row>
    <row r="293" spans="1:5">
      <c r="A293" s="34"/>
      <c r="B293" s="34"/>
      <c r="C293" s="34">
        <f t="shared" si="34"/>
        <v>287</v>
      </c>
      <c r="D293" s="35">
        <v>228</v>
      </c>
      <c r="E293" s="34">
        <f t="shared" si="31"/>
        <v>3718</v>
      </c>
    </row>
    <row r="294" spans="1:5">
      <c r="A294" s="34"/>
      <c r="B294" s="34"/>
      <c r="C294" s="34">
        <f t="shared" si="34"/>
        <v>288</v>
      </c>
      <c r="D294" s="34" t="s">
        <v>92</v>
      </c>
      <c r="E294" s="34">
        <f t="shared" si="31"/>
        <v>3731</v>
      </c>
    </row>
    <row r="295" spans="1:5">
      <c r="A295" s="34"/>
      <c r="B295" s="34"/>
      <c r="C295" s="34">
        <f t="shared" si="34"/>
        <v>289</v>
      </c>
      <c r="D295" s="35">
        <v>10</v>
      </c>
      <c r="E295" s="34">
        <f t="shared" si="31"/>
        <v>3744</v>
      </c>
    </row>
    <row r="296" spans="1:5">
      <c r="A296" s="34"/>
      <c r="B296" s="34"/>
      <c r="C296" s="34">
        <f t="shared" si="34"/>
        <v>290</v>
      </c>
      <c r="D296" s="34">
        <v>3.1</v>
      </c>
      <c r="E296" s="34">
        <f t="shared" si="31"/>
        <v>3757</v>
      </c>
    </row>
    <row r="297" spans="1:5">
      <c r="A297" s="34"/>
      <c r="B297" s="34"/>
      <c r="C297" s="34">
        <f t="shared" si="34"/>
        <v>291</v>
      </c>
      <c r="D297" s="34">
        <v>5200</v>
      </c>
      <c r="E297" s="34">
        <f t="shared" si="31"/>
        <v>3770</v>
      </c>
    </row>
    <row r="298" spans="1:5">
      <c r="A298" s="34"/>
      <c r="B298" s="34"/>
      <c r="C298" s="34">
        <f t="shared" si="34"/>
        <v>292</v>
      </c>
      <c r="D298" s="34">
        <v>7077</v>
      </c>
      <c r="E298" s="34">
        <f t="shared" si="31"/>
        <v>3783</v>
      </c>
    </row>
    <row r="299" spans="1:5">
      <c r="A299" s="34"/>
      <c r="B299" s="34"/>
      <c r="C299" s="34">
        <f t="shared" si="34"/>
        <v>293</v>
      </c>
      <c r="D299" s="35">
        <v>1.36</v>
      </c>
      <c r="E299" s="34">
        <f t="shared" si="31"/>
        <v>3796</v>
      </c>
    </row>
    <row r="300" spans="1:5">
      <c r="A300" s="34"/>
      <c r="B300" s="34"/>
      <c r="C300" s="34">
        <f t="shared" si="34"/>
        <v>294</v>
      </c>
      <c r="D300" s="35">
        <v>445</v>
      </c>
      <c r="E300" s="34">
        <f t="shared" si="31"/>
        <v>3809</v>
      </c>
    </row>
    <row r="301" spans="1:5">
      <c r="A301" s="34"/>
      <c r="B301" s="34"/>
      <c r="C301" s="34">
        <f t="shared" si="34"/>
        <v>295</v>
      </c>
      <c r="D301" s="35">
        <v>10340</v>
      </c>
      <c r="E301" s="34">
        <f t="shared" si="31"/>
        <v>3822</v>
      </c>
    </row>
    <row r="302" spans="1:5">
      <c r="A302" s="34"/>
      <c r="B302" s="34"/>
      <c r="C302" s="34">
        <f t="shared" si="34"/>
        <v>296</v>
      </c>
      <c r="D302" s="34">
        <v>1.99</v>
      </c>
      <c r="E302" s="34">
        <f t="shared" si="31"/>
        <v>3835</v>
      </c>
    </row>
    <row r="303" spans="1:5">
      <c r="A303" s="34"/>
      <c r="B303" s="34"/>
      <c r="C303" s="34">
        <f t="shared" si="34"/>
        <v>297</v>
      </c>
      <c r="D303" s="35">
        <v>1034</v>
      </c>
      <c r="E303" s="34">
        <f t="shared" si="31"/>
        <v>3848</v>
      </c>
    </row>
    <row r="304" spans="1:5">
      <c r="A304" s="34"/>
      <c r="B304" s="34"/>
      <c r="C304" s="34">
        <f t="shared" si="34"/>
        <v>298</v>
      </c>
      <c r="D304" s="34">
        <v>650</v>
      </c>
      <c r="E304" s="34">
        <f t="shared" si="31"/>
        <v>3861</v>
      </c>
    </row>
    <row r="305" spans="1:5">
      <c r="A305" s="34"/>
      <c r="B305" s="34"/>
      <c r="C305" s="34">
        <f t="shared" si="34"/>
        <v>299</v>
      </c>
      <c r="D305" s="35">
        <v>199</v>
      </c>
      <c r="E305" s="34">
        <f t="shared" si="31"/>
        <v>3874</v>
      </c>
    </row>
    <row r="306" spans="1:5">
      <c r="A306" s="34"/>
      <c r="B306" s="34"/>
      <c r="C306" s="34">
        <f t="shared" si="34"/>
        <v>300</v>
      </c>
      <c r="D306" s="34">
        <v>229</v>
      </c>
      <c r="E306" s="34">
        <f t="shared" si="31"/>
        <v>3887</v>
      </c>
    </row>
    <row r="307" spans="1:5">
      <c r="A307" s="34"/>
      <c r="B307" s="34"/>
      <c r="C307" s="34">
        <f t="shared" si="34"/>
        <v>301</v>
      </c>
      <c r="D307" s="34" t="s">
        <v>92</v>
      </c>
      <c r="E307" s="34">
        <f t="shared" si="31"/>
        <v>3900</v>
      </c>
    </row>
    <row r="308" spans="1:5">
      <c r="A308" s="34"/>
      <c r="B308" s="34"/>
      <c r="C308" s="34">
        <f t="shared" si="34"/>
        <v>302</v>
      </c>
      <c r="D308" s="34">
        <v>10</v>
      </c>
      <c r="E308" s="34">
        <f t="shared" si="31"/>
        <v>3913</v>
      </c>
    </row>
    <row r="309" spans="1:5">
      <c r="A309" s="34"/>
      <c r="B309" s="34"/>
      <c r="C309" s="34">
        <f t="shared" si="34"/>
        <v>303</v>
      </c>
      <c r="D309" s="35">
        <v>5</v>
      </c>
      <c r="E309" s="34">
        <f t="shared" si="31"/>
        <v>3926</v>
      </c>
    </row>
    <row r="310" spans="1:5">
      <c r="A310" s="34"/>
      <c r="B310" s="34"/>
      <c r="C310" s="34">
        <f t="shared" si="34"/>
        <v>304</v>
      </c>
      <c r="D310" s="35">
        <v>4888</v>
      </c>
      <c r="E310" s="34">
        <f t="shared" si="31"/>
        <v>3939</v>
      </c>
    </row>
    <row r="311" spans="1:5">
      <c r="A311" s="34"/>
      <c r="B311" s="34"/>
      <c r="C311" s="34">
        <f t="shared" si="34"/>
        <v>305</v>
      </c>
      <c r="D311" s="35">
        <v>15232</v>
      </c>
      <c r="E311" s="34">
        <f t="shared" si="31"/>
        <v>3952</v>
      </c>
    </row>
    <row r="312" spans="1:5">
      <c r="A312" s="34"/>
      <c r="B312" s="34"/>
      <c r="C312" s="34">
        <f t="shared" si="34"/>
        <v>306</v>
      </c>
      <c r="D312" s="34">
        <v>3.12</v>
      </c>
      <c r="E312" s="34">
        <f t="shared" si="31"/>
        <v>3965</v>
      </c>
    </row>
    <row r="313" spans="1:5">
      <c r="A313" s="34"/>
      <c r="B313" s="34"/>
      <c r="C313" s="34">
        <f t="shared" si="34"/>
        <v>307</v>
      </c>
      <c r="D313" s="35">
        <v>621</v>
      </c>
      <c r="E313" s="34">
        <f t="shared" si="31"/>
        <v>3978</v>
      </c>
    </row>
    <row r="314" spans="1:5">
      <c r="A314" s="34"/>
      <c r="B314" s="34"/>
      <c r="C314" s="34">
        <f t="shared" si="34"/>
        <v>308</v>
      </c>
      <c r="D314" s="34">
        <v>15232</v>
      </c>
      <c r="E314" s="34">
        <f t="shared" si="31"/>
        <v>3991</v>
      </c>
    </row>
    <row r="315" spans="1:5">
      <c r="A315" s="34"/>
      <c r="B315" s="34"/>
      <c r="C315" s="34">
        <f t="shared" si="34"/>
        <v>309</v>
      </c>
      <c r="D315" s="35">
        <v>3.12</v>
      </c>
      <c r="E315" s="34">
        <f t="shared" si="31"/>
        <v>4004</v>
      </c>
    </row>
    <row r="316" spans="1:5">
      <c r="A316" s="34"/>
      <c r="B316" s="34"/>
      <c r="C316" s="34">
        <f t="shared" si="34"/>
        <v>310</v>
      </c>
      <c r="D316" s="34">
        <v>1523</v>
      </c>
      <c r="E316" s="34">
        <f t="shared" si="31"/>
        <v>4017</v>
      </c>
    </row>
    <row r="317" spans="1:5">
      <c r="A317" s="34"/>
      <c r="B317" s="34"/>
      <c r="C317" s="34">
        <f t="shared" si="34"/>
        <v>311</v>
      </c>
      <c r="D317" s="34">
        <v>621</v>
      </c>
      <c r="E317" s="34">
        <f t="shared" si="31"/>
        <v>4030</v>
      </c>
    </row>
    <row r="318" spans="1:5">
      <c r="A318" s="34"/>
      <c r="B318" s="34"/>
      <c r="C318" s="34">
        <f t="shared" si="34"/>
        <v>312</v>
      </c>
      <c r="D318" s="34">
        <v>312</v>
      </c>
      <c r="E318" s="34">
        <f t="shared" si="31"/>
        <v>4043</v>
      </c>
    </row>
    <row r="319" spans="1:5">
      <c r="A319" s="34"/>
      <c r="B319" s="34"/>
      <c r="C319" s="34">
        <f t="shared" si="34"/>
        <v>313</v>
      </c>
      <c r="D319" s="35">
        <v>231</v>
      </c>
      <c r="E319" s="34">
        <f t="shared" si="31"/>
        <v>4056</v>
      </c>
    </row>
    <row r="320" spans="1:5">
      <c r="A320" s="34"/>
      <c r="B320" s="34"/>
      <c r="C320" s="34">
        <f t="shared" si="34"/>
        <v>314</v>
      </c>
      <c r="D320" s="35" t="s">
        <v>92</v>
      </c>
      <c r="E320" s="34">
        <f t="shared" si="31"/>
        <v>4069</v>
      </c>
    </row>
    <row r="321" spans="1:5">
      <c r="A321" s="34"/>
      <c r="B321" s="34"/>
      <c r="C321" s="34">
        <f t="shared" si="34"/>
        <v>315</v>
      </c>
      <c r="D321" s="35">
        <v>7.5</v>
      </c>
      <c r="E321" s="34">
        <f t="shared" si="31"/>
        <v>4082</v>
      </c>
    </row>
    <row r="322" spans="1:5">
      <c r="A322" s="34"/>
      <c r="B322" s="34"/>
      <c r="C322" s="34">
        <f t="shared" si="34"/>
        <v>316</v>
      </c>
      <c r="D322" s="34">
        <v>2.2000000000000002</v>
      </c>
      <c r="E322" s="34">
        <f t="shared" si="31"/>
        <v>4095</v>
      </c>
    </row>
    <row r="323" spans="1:5">
      <c r="A323" s="34"/>
      <c r="B323" s="34"/>
      <c r="C323" s="34">
        <f t="shared" si="34"/>
        <v>317</v>
      </c>
      <c r="D323" s="35">
        <v>5460</v>
      </c>
      <c r="E323" s="34">
        <f t="shared" si="31"/>
        <v>4108</v>
      </c>
    </row>
    <row r="324" spans="1:5">
      <c r="A324" s="34"/>
      <c r="B324" s="34"/>
      <c r="C324" s="34">
        <f t="shared" si="34"/>
        <v>318</v>
      </c>
      <c r="D324" s="34">
        <v>5500</v>
      </c>
      <c r="E324" s="34">
        <f t="shared" si="31"/>
        <v>4121</v>
      </c>
    </row>
    <row r="325" spans="1:5">
      <c r="A325" s="34"/>
      <c r="B325" s="34"/>
      <c r="C325" s="34">
        <f t="shared" si="34"/>
        <v>319</v>
      </c>
      <c r="D325" s="35">
        <v>1.01</v>
      </c>
      <c r="E325" s="34">
        <f t="shared" si="31"/>
        <v>4134</v>
      </c>
    </row>
    <row r="326" spans="1:5">
      <c r="A326" s="34"/>
      <c r="B326" s="34"/>
      <c r="C326" s="34">
        <f t="shared" si="34"/>
        <v>320</v>
      </c>
      <c r="D326" s="34">
        <v>457</v>
      </c>
      <c r="E326" s="34">
        <f t="shared" si="31"/>
        <v>4147</v>
      </c>
    </row>
    <row r="327" spans="1:5">
      <c r="A327" s="34"/>
      <c r="B327" s="34"/>
      <c r="C327" s="34">
        <f t="shared" si="34"/>
        <v>321</v>
      </c>
      <c r="D327" s="34">
        <v>6082</v>
      </c>
      <c r="E327" s="34">
        <f t="shared" si="31"/>
        <v>4160</v>
      </c>
    </row>
    <row r="328" spans="1:5">
      <c r="A328" s="34"/>
      <c r="B328" s="34"/>
      <c r="C328" s="34">
        <f t="shared" si="34"/>
        <v>322</v>
      </c>
      <c r="D328" s="34">
        <v>1.1100000000000001</v>
      </c>
      <c r="E328" s="34">
        <f t="shared" si="31"/>
        <v>4173</v>
      </c>
    </row>
    <row r="329" spans="1:5">
      <c r="A329" s="34"/>
      <c r="B329" s="34"/>
      <c r="C329" s="34">
        <f t="shared" si="34"/>
        <v>323</v>
      </c>
      <c r="D329" s="35">
        <v>811</v>
      </c>
      <c r="E329" s="34">
        <f t="shared" ref="E329:E392" si="35">E328+13</f>
        <v>4186</v>
      </c>
    </row>
    <row r="330" spans="1:5">
      <c r="A330" s="34"/>
      <c r="B330" s="34"/>
      <c r="C330" s="34">
        <f t="shared" si="34"/>
        <v>324</v>
      </c>
      <c r="D330" s="35">
        <v>506</v>
      </c>
      <c r="E330" s="34">
        <f t="shared" si="35"/>
        <v>4199</v>
      </c>
    </row>
    <row r="331" spans="1:5">
      <c r="A331" s="34"/>
      <c r="B331" s="34"/>
      <c r="C331" s="34">
        <f t="shared" si="34"/>
        <v>325</v>
      </c>
      <c r="D331" s="35">
        <v>149</v>
      </c>
      <c r="E331" s="34">
        <f t="shared" si="35"/>
        <v>4212</v>
      </c>
    </row>
    <row r="332" spans="1:5">
      <c r="A332" s="34"/>
      <c r="B332" s="34"/>
      <c r="C332" s="34">
        <f t="shared" si="34"/>
        <v>326</v>
      </c>
      <c r="D332" s="34">
        <v>362</v>
      </c>
      <c r="E332" s="34">
        <f t="shared" si="35"/>
        <v>4225</v>
      </c>
    </row>
    <row r="333" spans="1:5">
      <c r="A333" s="34"/>
      <c r="B333" s="34"/>
      <c r="C333" s="34">
        <f t="shared" si="34"/>
        <v>327</v>
      </c>
      <c r="D333" s="35" t="s">
        <v>92</v>
      </c>
      <c r="E333" s="34">
        <f t="shared" si="35"/>
        <v>4238</v>
      </c>
    </row>
    <row r="334" spans="1:5">
      <c r="A334" s="34"/>
      <c r="B334" s="34"/>
      <c r="C334" s="34">
        <f t="shared" si="34"/>
        <v>328</v>
      </c>
      <c r="D334" s="34">
        <v>18</v>
      </c>
      <c r="E334" s="34">
        <f t="shared" si="35"/>
        <v>4251</v>
      </c>
    </row>
    <row r="335" spans="1:5">
      <c r="A335" s="34"/>
      <c r="B335" s="34"/>
      <c r="C335" s="34">
        <f t="shared" si="34"/>
        <v>329</v>
      </c>
      <c r="D335" s="35">
        <v>3.3</v>
      </c>
      <c r="E335" s="34">
        <f t="shared" si="35"/>
        <v>4264</v>
      </c>
    </row>
    <row r="336" spans="1:5">
      <c r="A336" s="34"/>
      <c r="B336" s="34"/>
      <c r="C336" s="34">
        <f t="shared" si="34"/>
        <v>330</v>
      </c>
      <c r="D336" s="34">
        <v>7904</v>
      </c>
      <c r="E336" s="34">
        <f t="shared" si="35"/>
        <v>4277</v>
      </c>
    </row>
    <row r="337" spans="1:5">
      <c r="A337" s="34"/>
      <c r="B337" s="34"/>
      <c r="C337" s="34">
        <f t="shared" si="34"/>
        <v>331</v>
      </c>
      <c r="D337" s="34">
        <v>9045</v>
      </c>
      <c r="E337" s="34">
        <f t="shared" si="35"/>
        <v>4290</v>
      </c>
    </row>
    <row r="338" spans="1:5">
      <c r="A338" s="34"/>
      <c r="B338" s="34"/>
      <c r="C338" s="34">
        <f t="shared" si="34"/>
        <v>332</v>
      </c>
      <c r="D338" s="34">
        <v>1.1399999999999999</v>
      </c>
      <c r="E338" s="34">
        <f t="shared" si="35"/>
        <v>4303</v>
      </c>
    </row>
    <row r="339" spans="1:5">
      <c r="A339" s="34"/>
      <c r="B339" s="34"/>
      <c r="C339" s="34">
        <f t="shared" si="34"/>
        <v>333</v>
      </c>
      <c r="D339" s="35">
        <v>342</v>
      </c>
      <c r="E339" s="34">
        <f t="shared" si="35"/>
        <v>4316</v>
      </c>
    </row>
    <row r="340" spans="1:5">
      <c r="A340" s="34"/>
      <c r="B340" s="34"/>
      <c r="C340" s="34">
        <f t="shared" si="34"/>
        <v>334</v>
      </c>
      <c r="D340" s="35">
        <v>15457</v>
      </c>
      <c r="E340" s="34">
        <f t="shared" si="35"/>
        <v>4329</v>
      </c>
    </row>
    <row r="341" spans="1:5">
      <c r="A341" s="34"/>
      <c r="B341" s="34"/>
      <c r="C341" s="34">
        <f t="shared" si="34"/>
        <v>335</v>
      </c>
      <c r="D341" s="35">
        <v>1.96</v>
      </c>
      <c r="E341" s="34">
        <f t="shared" si="35"/>
        <v>4342</v>
      </c>
    </row>
    <row r="342" spans="1:5">
      <c r="A342" s="34"/>
      <c r="B342" s="34"/>
      <c r="C342" s="34">
        <f t="shared" si="34"/>
        <v>336</v>
      </c>
      <c r="D342" s="34">
        <v>859</v>
      </c>
      <c r="E342" s="34">
        <f t="shared" si="35"/>
        <v>4355</v>
      </c>
    </row>
    <row r="343" spans="1:5">
      <c r="A343" s="34"/>
      <c r="B343" s="34"/>
      <c r="C343" s="34">
        <f t="shared" si="34"/>
        <v>337</v>
      </c>
      <c r="D343" s="35">
        <v>584</v>
      </c>
      <c r="E343" s="34">
        <f t="shared" si="35"/>
        <v>4368</v>
      </c>
    </row>
    <row r="344" spans="1:5">
      <c r="A344" s="34"/>
      <c r="B344" s="34"/>
      <c r="C344" s="34">
        <f t="shared" si="34"/>
        <v>338</v>
      </c>
      <c r="D344" s="34">
        <v>109</v>
      </c>
      <c r="E344" s="34">
        <f t="shared" si="35"/>
        <v>4381</v>
      </c>
    </row>
    <row r="345" spans="1:5">
      <c r="A345" s="34"/>
      <c r="B345" s="34"/>
      <c r="C345" s="34">
        <f t="shared" ref="C345:C408" si="36">C344+1</f>
        <v>339</v>
      </c>
      <c r="D345" s="35">
        <v>363</v>
      </c>
      <c r="E345" s="34">
        <f t="shared" si="35"/>
        <v>4394</v>
      </c>
    </row>
    <row r="346" spans="1:5">
      <c r="A346" s="34"/>
      <c r="B346" s="34"/>
      <c r="C346" s="34">
        <f t="shared" si="36"/>
        <v>340</v>
      </c>
      <c r="D346" s="34" t="s">
        <v>92</v>
      </c>
      <c r="E346" s="34">
        <f t="shared" si="35"/>
        <v>4407</v>
      </c>
    </row>
    <row r="347" spans="1:5">
      <c r="A347" s="34"/>
      <c r="B347" s="34"/>
      <c r="C347" s="34">
        <f t="shared" si="36"/>
        <v>341</v>
      </c>
      <c r="D347" s="34">
        <v>20</v>
      </c>
      <c r="E347" s="34">
        <f t="shared" si="35"/>
        <v>4420</v>
      </c>
    </row>
    <row r="348" spans="1:5">
      <c r="A348" s="34"/>
      <c r="B348" s="34"/>
      <c r="C348" s="34">
        <f t="shared" si="36"/>
        <v>342</v>
      </c>
      <c r="D348" s="34">
        <v>7.7</v>
      </c>
      <c r="E348" s="34">
        <f t="shared" si="35"/>
        <v>4433</v>
      </c>
    </row>
    <row r="349" spans="1:5">
      <c r="A349" s="34"/>
      <c r="B349" s="34"/>
      <c r="C349" s="34">
        <f t="shared" si="36"/>
        <v>343</v>
      </c>
      <c r="D349" s="35">
        <v>7904</v>
      </c>
      <c r="E349" s="34">
        <f t="shared" si="35"/>
        <v>4446</v>
      </c>
    </row>
    <row r="350" spans="1:5">
      <c r="A350" s="34"/>
      <c r="B350" s="34"/>
      <c r="C350" s="34">
        <f t="shared" si="36"/>
        <v>344</v>
      </c>
      <c r="D350" s="35">
        <v>38920</v>
      </c>
      <c r="E350" s="34">
        <f t="shared" si="35"/>
        <v>4459</v>
      </c>
    </row>
    <row r="351" spans="1:5">
      <c r="A351" s="34"/>
      <c r="B351" s="34"/>
      <c r="C351" s="34">
        <f t="shared" si="36"/>
        <v>345</v>
      </c>
      <c r="D351" s="35">
        <v>4.92</v>
      </c>
      <c r="E351" s="34">
        <f t="shared" si="35"/>
        <v>4472</v>
      </c>
    </row>
    <row r="352" spans="1:5">
      <c r="A352" s="34"/>
      <c r="B352" s="34"/>
      <c r="C352" s="34">
        <f t="shared" si="36"/>
        <v>346</v>
      </c>
      <c r="D352" s="34">
        <v>640</v>
      </c>
      <c r="E352" s="34">
        <f t="shared" si="35"/>
        <v>4485</v>
      </c>
    </row>
    <row r="353" spans="1:5">
      <c r="A353" s="34"/>
      <c r="B353" s="34"/>
      <c r="C353" s="34">
        <f t="shared" si="36"/>
        <v>347</v>
      </c>
      <c r="D353" s="35">
        <v>41229</v>
      </c>
      <c r="E353" s="34">
        <f t="shared" si="35"/>
        <v>4498</v>
      </c>
    </row>
    <row r="354" spans="1:5">
      <c r="A354" s="34"/>
      <c r="B354" s="34"/>
      <c r="C354" s="34">
        <f t="shared" si="36"/>
        <v>348</v>
      </c>
      <c r="D354" s="34">
        <v>5.22</v>
      </c>
      <c r="E354" s="34">
        <f t="shared" si="35"/>
        <v>4511</v>
      </c>
    </row>
    <row r="355" spans="1:5">
      <c r="A355" s="34"/>
      <c r="B355" s="34"/>
      <c r="C355" s="34">
        <f t="shared" si="36"/>
        <v>349</v>
      </c>
      <c r="D355" s="35">
        <v>2061</v>
      </c>
      <c r="E355" s="34">
        <f t="shared" si="35"/>
        <v>4524</v>
      </c>
    </row>
    <row r="356" spans="1:5">
      <c r="A356" s="34"/>
      <c r="B356" s="34"/>
      <c r="C356" s="34">
        <f t="shared" si="36"/>
        <v>350</v>
      </c>
      <c r="D356" s="34">
        <v>678</v>
      </c>
      <c r="E356" s="34">
        <f t="shared" si="35"/>
        <v>4537</v>
      </c>
    </row>
    <row r="357" spans="1:5">
      <c r="A357" s="34"/>
      <c r="B357" s="34"/>
      <c r="C357" s="34">
        <f t="shared" si="36"/>
        <v>351</v>
      </c>
      <c r="D357" s="34">
        <v>261</v>
      </c>
      <c r="E357" s="34">
        <f t="shared" si="35"/>
        <v>4550</v>
      </c>
    </row>
    <row r="358" spans="1:5">
      <c r="A358" s="34"/>
      <c r="B358" s="34"/>
      <c r="C358" s="34">
        <f t="shared" si="36"/>
        <v>352</v>
      </c>
      <c r="D358" s="34">
        <v>364</v>
      </c>
      <c r="E358" s="34">
        <f t="shared" si="35"/>
        <v>4563</v>
      </c>
    </row>
    <row r="359" spans="1:5">
      <c r="A359" s="34"/>
      <c r="B359" s="34"/>
      <c r="C359" s="34">
        <f t="shared" si="36"/>
        <v>353</v>
      </c>
      <c r="D359" s="35" t="s">
        <v>92</v>
      </c>
      <c r="E359" s="34">
        <f t="shared" si="35"/>
        <v>4576</v>
      </c>
    </row>
    <row r="360" spans="1:5">
      <c r="A360" s="34"/>
      <c r="B360" s="34"/>
      <c r="C360" s="34">
        <f t="shared" si="36"/>
        <v>354</v>
      </c>
      <c r="D360" s="35">
        <v>25</v>
      </c>
      <c r="E360" s="34">
        <f t="shared" si="35"/>
        <v>4589</v>
      </c>
    </row>
    <row r="361" spans="1:5">
      <c r="A361" s="34"/>
      <c r="B361" s="34"/>
      <c r="C361" s="34">
        <f t="shared" si="36"/>
        <v>355</v>
      </c>
      <c r="D361" s="34">
        <v>6.4</v>
      </c>
      <c r="E361" s="34">
        <f t="shared" si="35"/>
        <v>4602</v>
      </c>
    </row>
    <row r="362" spans="1:5">
      <c r="A362" s="34"/>
      <c r="B362" s="34"/>
      <c r="C362" s="34">
        <f t="shared" si="36"/>
        <v>356</v>
      </c>
      <c r="D362" s="34">
        <v>5460</v>
      </c>
      <c r="E362" s="34">
        <f t="shared" si="35"/>
        <v>4615</v>
      </c>
    </row>
    <row r="363" spans="1:5">
      <c r="A363" s="34"/>
      <c r="B363" s="34"/>
      <c r="C363" s="34">
        <f t="shared" si="36"/>
        <v>357</v>
      </c>
      <c r="D363" s="34">
        <v>23898</v>
      </c>
      <c r="E363" s="34">
        <f t="shared" si="35"/>
        <v>4628</v>
      </c>
    </row>
    <row r="364" spans="1:5">
      <c r="A364" s="34"/>
      <c r="B364" s="34"/>
      <c r="C364" s="34">
        <f t="shared" si="36"/>
        <v>358</v>
      </c>
      <c r="D364" s="34">
        <v>4.38</v>
      </c>
      <c r="E364" s="34">
        <f t="shared" si="35"/>
        <v>4641</v>
      </c>
    </row>
    <row r="365" spans="1:5">
      <c r="A365" s="34"/>
      <c r="B365" s="34"/>
      <c r="C365" s="34">
        <f t="shared" si="36"/>
        <v>359</v>
      </c>
      <c r="D365" s="35">
        <v>689</v>
      </c>
      <c r="E365" s="34">
        <f t="shared" si="35"/>
        <v>4654</v>
      </c>
    </row>
    <row r="366" spans="1:5">
      <c r="A366" s="34"/>
      <c r="B366" s="34"/>
      <c r="C366" s="34">
        <f t="shared" si="36"/>
        <v>360</v>
      </c>
      <c r="D366" s="34">
        <v>25034</v>
      </c>
      <c r="E366" s="34">
        <f t="shared" si="35"/>
        <v>4667</v>
      </c>
    </row>
    <row r="367" spans="1:5">
      <c r="A367" s="34"/>
      <c r="B367" s="34"/>
      <c r="C367" s="34">
        <f t="shared" si="36"/>
        <v>361</v>
      </c>
      <c r="D367" s="34">
        <v>4.58</v>
      </c>
      <c r="E367" s="34">
        <f t="shared" si="35"/>
        <v>4680</v>
      </c>
    </row>
    <row r="368" spans="1:5">
      <c r="A368" s="34"/>
      <c r="B368" s="34"/>
      <c r="C368" s="34">
        <f t="shared" si="36"/>
        <v>362</v>
      </c>
      <c r="D368" s="34">
        <v>1001</v>
      </c>
      <c r="E368" s="34">
        <f t="shared" si="35"/>
        <v>4693</v>
      </c>
    </row>
    <row r="369" spans="1:5">
      <c r="A369" s="34"/>
      <c r="B369" s="34"/>
      <c r="C369" s="34">
        <f t="shared" si="36"/>
        <v>363</v>
      </c>
      <c r="D369" s="35">
        <v>721</v>
      </c>
      <c r="E369" s="34">
        <f t="shared" si="35"/>
        <v>4706</v>
      </c>
    </row>
    <row r="370" spans="1:5">
      <c r="A370" s="34"/>
      <c r="B370" s="34"/>
      <c r="C370" s="34">
        <f t="shared" si="36"/>
        <v>364</v>
      </c>
      <c r="D370" s="35">
        <v>183</v>
      </c>
      <c r="E370" s="34">
        <f t="shared" si="35"/>
        <v>4719</v>
      </c>
    </row>
    <row r="371" spans="1:5">
      <c r="A371" s="34"/>
      <c r="B371" s="34"/>
      <c r="C371" s="34">
        <f t="shared" si="36"/>
        <v>365</v>
      </c>
      <c r="D371" s="34">
        <v>365</v>
      </c>
      <c r="E371" s="34">
        <f t="shared" si="35"/>
        <v>4732</v>
      </c>
    </row>
    <row r="372" spans="1:5">
      <c r="A372" s="34"/>
      <c r="B372" s="34"/>
      <c r="C372" s="34">
        <f t="shared" si="36"/>
        <v>366</v>
      </c>
      <c r="D372" s="34" t="s">
        <v>92</v>
      </c>
      <c r="E372" s="34">
        <f t="shared" si="35"/>
        <v>4745</v>
      </c>
    </row>
    <row r="373" spans="1:5">
      <c r="A373" s="34"/>
      <c r="B373" s="34"/>
      <c r="C373" s="34">
        <f t="shared" si="36"/>
        <v>367</v>
      </c>
      <c r="D373" s="35">
        <v>25</v>
      </c>
      <c r="E373" s="34">
        <f t="shared" si="35"/>
        <v>4758</v>
      </c>
    </row>
    <row r="374" spans="1:5">
      <c r="A374" s="34"/>
      <c r="B374" s="34"/>
      <c r="C374" s="34">
        <f t="shared" si="36"/>
        <v>368</v>
      </c>
      <c r="D374" s="34">
        <v>6.8</v>
      </c>
      <c r="E374" s="34">
        <f t="shared" si="35"/>
        <v>4771</v>
      </c>
    </row>
    <row r="375" spans="1:5">
      <c r="A375" s="34"/>
      <c r="B375" s="34"/>
      <c r="C375" s="34">
        <f t="shared" si="36"/>
        <v>369</v>
      </c>
      <c r="D375" s="35">
        <v>5460</v>
      </c>
      <c r="E375" s="34">
        <f t="shared" si="35"/>
        <v>4784</v>
      </c>
    </row>
    <row r="376" spans="1:5">
      <c r="A376" s="34"/>
      <c r="B376" s="34"/>
      <c r="C376" s="34">
        <f t="shared" si="36"/>
        <v>370</v>
      </c>
      <c r="D376" s="34">
        <v>24570</v>
      </c>
      <c r="E376" s="34">
        <f t="shared" si="35"/>
        <v>4797</v>
      </c>
    </row>
    <row r="377" spans="1:5">
      <c r="A377" s="34"/>
      <c r="B377" s="34"/>
      <c r="C377" s="34">
        <f t="shared" si="36"/>
        <v>371</v>
      </c>
      <c r="D377" s="34">
        <v>4.5</v>
      </c>
      <c r="E377" s="34">
        <f t="shared" si="35"/>
        <v>4810</v>
      </c>
    </row>
    <row r="378" spans="1:5">
      <c r="A378" s="34"/>
      <c r="B378" s="34"/>
      <c r="C378" s="34">
        <f t="shared" si="36"/>
        <v>372</v>
      </c>
      <c r="D378" s="34">
        <v>665</v>
      </c>
      <c r="E378" s="34">
        <f t="shared" si="35"/>
        <v>4823</v>
      </c>
    </row>
    <row r="379" spans="1:5">
      <c r="A379" s="34"/>
      <c r="B379" s="34"/>
      <c r="C379" s="34">
        <f t="shared" si="36"/>
        <v>373</v>
      </c>
      <c r="D379" s="35">
        <v>24357</v>
      </c>
      <c r="E379" s="34">
        <f t="shared" si="35"/>
        <v>4836</v>
      </c>
    </row>
    <row r="380" spans="1:5">
      <c r="A380" s="34"/>
      <c r="B380" s="34"/>
      <c r="C380" s="34">
        <f t="shared" si="36"/>
        <v>374</v>
      </c>
      <c r="D380" s="35">
        <v>4.46</v>
      </c>
      <c r="E380" s="34">
        <f t="shared" si="35"/>
        <v>4849</v>
      </c>
    </row>
    <row r="381" spans="1:5">
      <c r="A381" s="34"/>
      <c r="B381" s="34"/>
      <c r="C381" s="34">
        <f t="shared" si="36"/>
        <v>375</v>
      </c>
      <c r="D381" s="34">
        <v>974</v>
      </c>
      <c r="E381" s="34">
        <f t="shared" si="35"/>
        <v>4862</v>
      </c>
    </row>
    <row r="382" spans="1:5">
      <c r="A382" s="34"/>
      <c r="B382" s="34"/>
      <c r="C382" s="34">
        <f t="shared" si="36"/>
        <v>376</v>
      </c>
      <c r="D382" s="34">
        <v>659</v>
      </c>
      <c r="E382" s="34">
        <f t="shared" si="35"/>
        <v>4875</v>
      </c>
    </row>
    <row r="383" spans="1:5">
      <c r="A383" s="34"/>
      <c r="B383" s="34"/>
      <c r="C383" s="34">
        <f t="shared" si="36"/>
        <v>377</v>
      </c>
      <c r="D383" s="34">
        <v>178</v>
      </c>
      <c r="E383" s="34">
        <f t="shared" si="35"/>
        <v>4888</v>
      </c>
    </row>
    <row r="384" spans="1:5">
      <c r="A384" s="34"/>
      <c r="B384" s="34"/>
      <c r="C384" s="34">
        <f t="shared" si="36"/>
        <v>378</v>
      </c>
      <c r="D384" s="36">
        <v>366</v>
      </c>
      <c r="E384" s="34">
        <f t="shared" si="35"/>
        <v>4901</v>
      </c>
    </row>
    <row r="385" spans="1:5">
      <c r="A385" s="34"/>
      <c r="B385" s="34"/>
      <c r="C385" s="34">
        <f t="shared" si="36"/>
        <v>379</v>
      </c>
      <c r="D385" s="34" t="s">
        <v>92</v>
      </c>
      <c r="E385" s="34">
        <f t="shared" si="35"/>
        <v>4914</v>
      </c>
    </row>
    <row r="386" spans="1:5">
      <c r="A386" s="34"/>
      <c r="B386" s="34"/>
      <c r="C386" s="34">
        <f t="shared" si="36"/>
        <v>380</v>
      </c>
      <c r="D386" s="34">
        <v>25</v>
      </c>
      <c r="E386" s="34">
        <f t="shared" si="35"/>
        <v>4927</v>
      </c>
    </row>
    <row r="387" spans="1:5">
      <c r="A387" s="34"/>
      <c r="B387" s="34"/>
      <c r="C387" s="34">
        <f t="shared" si="36"/>
        <v>381</v>
      </c>
      <c r="D387" s="34">
        <v>6.7</v>
      </c>
      <c r="E387" s="34">
        <f t="shared" si="35"/>
        <v>4940</v>
      </c>
    </row>
    <row r="388" spans="1:5">
      <c r="A388" s="34"/>
      <c r="B388" s="34"/>
      <c r="C388" s="34">
        <f t="shared" si="36"/>
        <v>382</v>
      </c>
      <c r="D388" s="34">
        <v>8736</v>
      </c>
      <c r="E388" s="34">
        <f t="shared" si="35"/>
        <v>4953</v>
      </c>
    </row>
    <row r="389" spans="1:5">
      <c r="A389" s="34"/>
      <c r="B389" s="34"/>
      <c r="C389" s="34">
        <f t="shared" si="36"/>
        <v>383</v>
      </c>
      <c r="D389" s="35">
        <v>37497</v>
      </c>
      <c r="E389" s="34">
        <f t="shared" si="35"/>
        <v>4966</v>
      </c>
    </row>
    <row r="390" spans="1:5">
      <c r="A390" s="34"/>
      <c r="B390" s="34"/>
      <c r="C390" s="34">
        <f t="shared" si="36"/>
        <v>384</v>
      </c>
      <c r="D390" s="35">
        <v>4.29</v>
      </c>
      <c r="E390" s="34">
        <f t="shared" si="35"/>
        <v>4979</v>
      </c>
    </row>
    <row r="391" spans="1:5">
      <c r="A391" s="34"/>
      <c r="B391" s="34"/>
      <c r="C391" s="34">
        <f t="shared" si="36"/>
        <v>385</v>
      </c>
      <c r="D391" s="34">
        <v>640</v>
      </c>
      <c r="E391" s="34">
        <f t="shared" si="35"/>
        <v>4992</v>
      </c>
    </row>
    <row r="392" spans="1:5">
      <c r="A392" s="34"/>
      <c r="B392" s="34"/>
      <c r="C392" s="34">
        <f t="shared" si="36"/>
        <v>386</v>
      </c>
      <c r="D392" s="34">
        <v>29320</v>
      </c>
      <c r="E392" s="34">
        <f t="shared" si="35"/>
        <v>5005</v>
      </c>
    </row>
    <row r="393" spans="1:5">
      <c r="A393" s="34"/>
      <c r="B393" s="34"/>
      <c r="C393" s="34">
        <f t="shared" si="36"/>
        <v>387</v>
      </c>
      <c r="D393" s="34">
        <v>3.36</v>
      </c>
      <c r="E393" s="34">
        <f t="shared" ref="E393:E456" si="37">E392+13</f>
        <v>5018</v>
      </c>
    </row>
    <row r="394" spans="1:5">
      <c r="A394" s="34"/>
      <c r="B394" s="34"/>
      <c r="C394" s="34">
        <f t="shared" si="36"/>
        <v>388</v>
      </c>
      <c r="D394" s="34">
        <v>1173</v>
      </c>
      <c r="E394" s="34">
        <f t="shared" si="37"/>
        <v>5031</v>
      </c>
    </row>
    <row r="395" spans="1:5">
      <c r="A395" s="34"/>
      <c r="B395" s="34"/>
      <c r="C395" s="34">
        <f t="shared" si="36"/>
        <v>389</v>
      </c>
      <c r="D395" s="34">
        <v>501</v>
      </c>
      <c r="E395" s="34">
        <f t="shared" si="37"/>
        <v>5044</v>
      </c>
    </row>
    <row r="396" spans="1:5">
      <c r="A396" s="34"/>
      <c r="B396" s="34"/>
      <c r="C396" s="34">
        <f t="shared" si="36"/>
        <v>390</v>
      </c>
      <c r="D396" s="34">
        <v>134</v>
      </c>
      <c r="E396" s="34">
        <f t="shared" si="37"/>
        <v>5057</v>
      </c>
    </row>
    <row r="397" spans="1:5">
      <c r="A397" s="34"/>
      <c r="B397" s="34"/>
      <c r="C397" s="34">
        <f t="shared" si="36"/>
        <v>391</v>
      </c>
      <c r="D397" s="34">
        <v>367</v>
      </c>
      <c r="E397" s="34">
        <f t="shared" si="37"/>
        <v>5070</v>
      </c>
    </row>
    <row r="398" spans="1:5">
      <c r="A398" s="34"/>
      <c r="B398" s="34"/>
      <c r="C398" s="34">
        <f t="shared" si="36"/>
        <v>392</v>
      </c>
      <c r="D398" s="34" t="s">
        <v>92</v>
      </c>
      <c r="E398" s="34">
        <f t="shared" si="37"/>
        <v>5083</v>
      </c>
    </row>
    <row r="399" spans="1:5">
      <c r="A399" s="34"/>
      <c r="B399" s="34"/>
      <c r="C399" s="34">
        <f t="shared" si="36"/>
        <v>393</v>
      </c>
      <c r="D399" s="35">
        <v>25</v>
      </c>
      <c r="E399" s="34">
        <f t="shared" si="37"/>
        <v>5096</v>
      </c>
    </row>
    <row r="400" spans="1:5">
      <c r="A400" s="34"/>
      <c r="B400" s="34"/>
      <c r="C400" s="34">
        <f t="shared" si="36"/>
        <v>394</v>
      </c>
      <c r="D400" s="35">
        <v>8.1</v>
      </c>
      <c r="E400" s="34">
        <f t="shared" si="37"/>
        <v>5109</v>
      </c>
    </row>
    <row r="401" spans="1:5">
      <c r="A401" s="34"/>
      <c r="B401" s="34"/>
      <c r="C401" s="34">
        <f t="shared" si="36"/>
        <v>395</v>
      </c>
      <c r="D401" s="34">
        <v>8736</v>
      </c>
      <c r="E401" s="34">
        <f t="shared" si="37"/>
        <v>5122</v>
      </c>
    </row>
    <row r="402" spans="1:5">
      <c r="A402" s="34"/>
      <c r="B402" s="34"/>
      <c r="C402" s="34">
        <f t="shared" si="36"/>
        <v>396</v>
      </c>
      <c r="D402" s="34">
        <v>42477</v>
      </c>
      <c r="E402" s="34">
        <f t="shared" si="37"/>
        <v>5135</v>
      </c>
    </row>
    <row r="403" spans="1:5">
      <c r="A403" s="34"/>
      <c r="B403" s="34"/>
      <c r="C403" s="34">
        <f t="shared" si="36"/>
        <v>397</v>
      </c>
      <c r="D403" s="34">
        <v>4.8600000000000003</v>
      </c>
      <c r="E403" s="34">
        <f t="shared" si="37"/>
        <v>5148</v>
      </c>
    </row>
    <row r="404" spans="1:5">
      <c r="A404" s="34"/>
      <c r="B404" s="34"/>
      <c r="C404" s="34">
        <f t="shared" si="36"/>
        <v>398</v>
      </c>
      <c r="D404" s="34">
        <v>602</v>
      </c>
      <c r="E404" s="34">
        <f t="shared" si="37"/>
        <v>5161</v>
      </c>
    </row>
    <row r="405" spans="1:5">
      <c r="A405" s="34"/>
      <c r="B405" s="34"/>
      <c r="C405" s="34">
        <f t="shared" si="36"/>
        <v>399</v>
      </c>
      <c r="D405" s="35">
        <v>27892</v>
      </c>
      <c r="E405" s="34">
        <f t="shared" si="37"/>
        <v>5174</v>
      </c>
    </row>
    <row r="406" spans="1:5">
      <c r="A406" s="34"/>
      <c r="B406" s="34"/>
      <c r="C406" s="34">
        <f t="shared" si="36"/>
        <v>400</v>
      </c>
      <c r="D406" s="34">
        <v>3.19</v>
      </c>
      <c r="E406" s="34">
        <f t="shared" si="37"/>
        <v>5187</v>
      </c>
    </row>
    <row r="407" spans="1:5">
      <c r="A407" s="34"/>
      <c r="B407" s="34"/>
      <c r="C407" s="34">
        <f t="shared" si="36"/>
        <v>401</v>
      </c>
      <c r="D407" s="34">
        <v>1116</v>
      </c>
      <c r="E407" s="34">
        <f t="shared" si="37"/>
        <v>5200</v>
      </c>
    </row>
    <row r="408" spans="1:5">
      <c r="A408" s="34"/>
      <c r="B408" s="34"/>
      <c r="C408" s="34">
        <f t="shared" si="36"/>
        <v>402</v>
      </c>
      <c r="D408" s="34">
        <v>395</v>
      </c>
      <c r="E408" s="34">
        <f t="shared" si="37"/>
        <v>5213</v>
      </c>
    </row>
    <row r="409" spans="1:5">
      <c r="A409" s="34"/>
      <c r="B409" s="34"/>
      <c r="C409" s="34">
        <f t="shared" ref="C409:C472" si="38">C408+1</f>
        <v>403</v>
      </c>
      <c r="D409" s="35">
        <v>128</v>
      </c>
      <c r="E409" s="34">
        <f t="shared" si="37"/>
        <v>5226</v>
      </c>
    </row>
    <row r="410" spans="1:5">
      <c r="A410" s="34"/>
      <c r="B410" s="34"/>
      <c r="C410" s="34">
        <f t="shared" si="38"/>
        <v>404</v>
      </c>
      <c r="D410" s="35">
        <v>368</v>
      </c>
      <c r="E410" s="34">
        <f t="shared" si="37"/>
        <v>5239</v>
      </c>
    </row>
    <row r="411" spans="1:5">
      <c r="A411" s="34"/>
      <c r="B411" s="34"/>
      <c r="C411" s="34">
        <f t="shared" si="38"/>
        <v>405</v>
      </c>
      <c r="D411" s="34" t="s">
        <v>92</v>
      </c>
      <c r="E411" s="34">
        <f t="shared" si="37"/>
        <v>5252</v>
      </c>
    </row>
    <row r="412" spans="1:5">
      <c r="A412" s="34"/>
      <c r="B412" s="34"/>
      <c r="C412" s="34">
        <f t="shared" si="38"/>
        <v>406</v>
      </c>
      <c r="D412" s="34">
        <v>25</v>
      </c>
      <c r="E412" s="34">
        <f t="shared" si="37"/>
        <v>5265</v>
      </c>
    </row>
    <row r="413" spans="1:5">
      <c r="A413" s="34"/>
      <c r="B413" s="34"/>
      <c r="C413" s="34">
        <f t="shared" si="38"/>
        <v>407</v>
      </c>
      <c r="D413" s="34">
        <v>6.4</v>
      </c>
      <c r="E413" s="34">
        <f t="shared" si="37"/>
        <v>5278</v>
      </c>
    </row>
    <row r="414" spans="1:5">
      <c r="A414" s="34"/>
      <c r="B414" s="34"/>
      <c r="C414" s="34">
        <f t="shared" si="38"/>
        <v>408</v>
      </c>
      <c r="D414" s="34">
        <v>8736</v>
      </c>
      <c r="E414" s="34">
        <f t="shared" si="37"/>
        <v>5291</v>
      </c>
    </row>
    <row r="415" spans="1:5">
      <c r="A415" s="34"/>
      <c r="B415" s="34"/>
      <c r="C415" s="34">
        <f t="shared" si="38"/>
        <v>409</v>
      </c>
      <c r="D415" s="34">
        <v>33123</v>
      </c>
      <c r="E415" s="34">
        <f t="shared" si="37"/>
        <v>5304</v>
      </c>
    </row>
    <row r="416" spans="1:5">
      <c r="A416" s="34"/>
      <c r="B416" s="34"/>
      <c r="C416" s="34">
        <f t="shared" si="38"/>
        <v>410</v>
      </c>
      <c r="D416" s="34">
        <v>3.79</v>
      </c>
      <c r="E416" s="34">
        <f t="shared" si="37"/>
        <v>5317</v>
      </c>
    </row>
    <row r="417" spans="1:5">
      <c r="A417" s="34"/>
      <c r="B417" s="34"/>
      <c r="C417" s="34">
        <f t="shared" si="38"/>
        <v>411</v>
      </c>
      <c r="D417" s="34">
        <v>591</v>
      </c>
      <c r="E417" s="34">
        <f t="shared" si="37"/>
        <v>5330</v>
      </c>
    </row>
    <row r="418" spans="1:5">
      <c r="A418" s="34"/>
      <c r="B418" s="34"/>
      <c r="C418" s="34">
        <f t="shared" si="38"/>
        <v>412</v>
      </c>
      <c r="D418" s="34">
        <v>29069</v>
      </c>
      <c r="E418" s="34">
        <f t="shared" si="37"/>
        <v>5343</v>
      </c>
    </row>
    <row r="419" spans="1:5">
      <c r="A419" s="34"/>
      <c r="B419" s="34"/>
      <c r="C419" s="34">
        <f t="shared" si="38"/>
        <v>413</v>
      </c>
      <c r="D419" s="35">
        <v>3.33</v>
      </c>
      <c r="E419" s="34">
        <f t="shared" si="37"/>
        <v>5356</v>
      </c>
    </row>
    <row r="420" spans="1:5">
      <c r="A420" s="34"/>
      <c r="B420" s="34"/>
      <c r="C420" s="34">
        <f t="shared" si="38"/>
        <v>414</v>
      </c>
      <c r="D420" s="35">
        <v>1163</v>
      </c>
      <c r="E420" s="34">
        <f t="shared" si="37"/>
        <v>5369</v>
      </c>
    </row>
    <row r="421" spans="1:5">
      <c r="A421" s="34"/>
      <c r="B421" s="34"/>
      <c r="C421" s="34">
        <f t="shared" si="38"/>
        <v>415</v>
      </c>
      <c r="D421" s="34">
        <v>518</v>
      </c>
      <c r="E421" s="34">
        <f t="shared" si="37"/>
        <v>5382</v>
      </c>
    </row>
    <row r="422" spans="1:5">
      <c r="A422" s="34"/>
      <c r="B422" s="34"/>
      <c r="C422" s="34">
        <f t="shared" si="38"/>
        <v>416</v>
      </c>
      <c r="D422" s="34">
        <v>133</v>
      </c>
      <c r="E422" s="34">
        <f t="shared" si="37"/>
        <v>5395</v>
      </c>
    </row>
    <row r="423" spans="1:5">
      <c r="A423" s="34"/>
      <c r="B423" s="34"/>
      <c r="C423" s="34">
        <f t="shared" si="38"/>
        <v>417</v>
      </c>
      <c r="D423" s="34">
        <v>369</v>
      </c>
      <c r="E423" s="34">
        <f t="shared" si="37"/>
        <v>5408</v>
      </c>
    </row>
    <row r="424" spans="1:5">
      <c r="A424" s="34"/>
      <c r="B424" s="34"/>
      <c r="C424" s="34">
        <f t="shared" si="38"/>
        <v>418</v>
      </c>
      <c r="D424" s="34" t="s">
        <v>92</v>
      </c>
      <c r="E424" s="34">
        <f t="shared" si="37"/>
        <v>5421</v>
      </c>
    </row>
    <row r="425" spans="1:5">
      <c r="A425" s="34"/>
      <c r="B425" s="34"/>
      <c r="C425" s="34">
        <f t="shared" si="38"/>
        <v>419</v>
      </c>
      <c r="D425" s="34">
        <v>25</v>
      </c>
      <c r="E425" s="34">
        <f t="shared" si="37"/>
        <v>5434</v>
      </c>
    </row>
    <row r="426" spans="1:5">
      <c r="A426" s="34"/>
      <c r="B426" s="34"/>
      <c r="C426" s="34">
        <f t="shared" si="38"/>
        <v>420</v>
      </c>
      <c r="D426" s="34">
        <v>7</v>
      </c>
      <c r="E426" s="34">
        <f t="shared" si="37"/>
        <v>5447</v>
      </c>
    </row>
    <row r="427" spans="1:5">
      <c r="A427" s="34"/>
      <c r="B427" s="34"/>
      <c r="C427" s="34">
        <f t="shared" si="38"/>
        <v>421</v>
      </c>
      <c r="D427" s="34">
        <v>8736</v>
      </c>
      <c r="E427" s="34">
        <f t="shared" si="37"/>
        <v>5460</v>
      </c>
    </row>
    <row r="428" spans="1:5">
      <c r="A428" s="34"/>
      <c r="B428" s="34"/>
      <c r="C428" s="34">
        <f t="shared" si="38"/>
        <v>422</v>
      </c>
      <c r="D428" s="34">
        <v>42165</v>
      </c>
      <c r="E428" s="34">
        <f t="shared" si="37"/>
        <v>5473</v>
      </c>
    </row>
    <row r="429" spans="1:5">
      <c r="A429" s="34"/>
      <c r="B429" s="34"/>
      <c r="C429" s="34">
        <f t="shared" si="38"/>
        <v>423</v>
      </c>
      <c r="D429" s="35">
        <v>4.83</v>
      </c>
      <c r="E429" s="34">
        <f t="shared" si="37"/>
        <v>5486</v>
      </c>
    </row>
    <row r="430" spans="1:5">
      <c r="A430" s="34"/>
      <c r="B430" s="34"/>
      <c r="C430" s="34">
        <f t="shared" si="38"/>
        <v>424</v>
      </c>
      <c r="D430" s="35">
        <v>691</v>
      </c>
      <c r="E430" s="34">
        <f t="shared" si="37"/>
        <v>5499</v>
      </c>
    </row>
    <row r="431" spans="1:5">
      <c r="A431" s="34"/>
      <c r="B431" s="34"/>
      <c r="C431" s="34">
        <f t="shared" si="38"/>
        <v>425</v>
      </c>
      <c r="D431" s="34">
        <v>38168</v>
      </c>
      <c r="E431" s="34">
        <f t="shared" si="37"/>
        <v>5512</v>
      </c>
    </row>
    <row r="432" spans="1:5">
      <c r="A432" s="34"/>
      <c r="B432" s="34"/>
      <c r="C432" s="34">
        <f t="shared" si="38"/>
        <v>426</v>
      </c>
      <c r="D432" s="34">
        <v>4.37</v>
      </c>
      <c r="E432" s="34">
        <f t="shared" si="37"/>
        <v>5525</v>
      </c>
    </row>
    <row r="433" spans="1:5">
      <c r="A433" s="34"/>
      <c r="B433" s="34"/>
      <c r="C433" s="34">
        <f t="shared" si="38"/>
        <v>427</v>
      </c>
      <c r="D433" s="35">
        <v>1527</v>
      </c>
      <c r="E433" s="34">
        <f t="shared" si="37"/>
        <v>5538</v>
      </c>
    </row>
    <row r="434" spans="1:5">
      <c r="A434" s="34"/>
      <c r="B434" s="34"/>
      <c r="C434" s="34">
        <f t="shared" si="38"/>
        <v>428</v>
      </c>
      <c r="D434" s="34">
        <v>626</v>
      </c>
      <c r="E434" s="34">
        <f t="shared" si="37"/>
        <v>5551</v>
      </c>
    </row>
    <row r="435" spans="1:5">
      <c r="A435" s="34"/>
      <c r="B435" s="34"/>
      <c r="C435" s="34">
        <f t="shared" si="38"/>
        <v>429</v>
      </c>
      <c r="D435" s="35">
        <v>175</v>
      </c>
      <c r="E435" s="34">
        <f t="shared" si="37"/>
        <v>5564</v>
      </c>
    </row>
    <row r="436" spans="1:5">
      <c r="A436" s="34"/>
      <c r="B436" s="34"/>
      <c r="C436" s="34">
        <f t="shared" si="38"/>
        <v>430</v>
      </c>
      <c r="D436" s="34">
        <v>370</v>
      </c>
      <c r="E436" s="34">
        <f t="shared" si="37"/>
        <v>5577</v>
      </c>
    </row>
    <row r="437" spans="1:5">
      <c r="A437" s="34"/>
      <c r="B437" s="34"/>
      <c r="C437" s="34">
        <f t="shared" si="38"/>
        <v>431</v>
      </c>
      <c r="D437" s="34" t="s">
        <v>92</v>
      </c>
      <c r="E437" s="34">
        <f t="shared" si="37"/>
        <v>5590</v>
      </c>
    </row>
    <row r="438" spans="1:5">
      <c r="A438" s="34"/>
      <c r="B438" s="34"/>
      <c r="C438" s="34">
        <f t="shared" si="38"/>
        <v>432</v>
      </c>
      <c r="D438" s="34">
        <v>25</v>
      </c>
      <c r="E438" s="34">
        <f t="shared" si="37"/>
        <v>5603</v>
      </c>
    </row>
    <row r="439" spans="1:5">
      <c r="A439" s="34"/>
      <c r="B439" s="34"/>
      <c r="C439" s="34">
        <f t="shared" si="38"/>
        <v>433</v>
      </c>
      <c r="D439" s="35">
        <v>6.9</v>
      </c>
      <c r="E439" s="34">
        <f t="shared" si="37"/>
        <v>5616</v>
      </c>
    </row>
    <row r="440" spans="1:5">
      <c r="A440" s="34"/>
      <c r="B440" s="34"/>
      <c r="C440" s="34">
        <f t="shared" si="38"/>
        <v>434</v>
      </c>
      <c r="D440" s="35">
        <v>8736</v>
      </c>
      <c r="E440" s="34">
        <f t="shared" si="37"/>
        <v>5629</v>
      </c>
    </row>
    <row r="441" spans="1:5">
      <c r="A441" s="34"/>
      <c r="B441" s="34"/>
      <c r="C441" s="34">
        <f t="shared" si="38"/>
        <v>435</v>
      </c>
      <c r="D441" s="34">
        <v>40696</v>
      </c>
      <c r="E441" s="34">
        <f t="shared" si="37"/>
        <v>5642</v>
      </c>
    </row>
    <row r="442" spans="1:5">
      <c r="A442" s="34"/>
      <c r="B442" s="34"/>
      <c r="C442" s="34">
        <f t="shared" si="38"/>
        <v>436</v>
      </c>
      <c r="D442" s="34">
        <v>4.66</v>
      </c>
      <c r="E442" s="34">
        <f t="shared" si="37"/>
        <v>5655</v>
      </c>
    </row>
    <row r="443" spans="1:5">
      <c r="A443" s="34"/>
      <c r="B443" s="34"/>
      <c r="C443" s="34">
        <f t="shared" si="38"/>
        <v>437</v>
      </c>
      <c r="D443" s="35">
        <v>679</v>
      </c>
      <c r="E443" s="34">
        <f t="shared" si="37"/>
        <v>5668</v>
      </c>
    </row>
    <row r="444" spans="1:5">
      <c r="A444" s="34"/>
      <c r="B444" s="34"/>
      <c r="C444" s="34">
        <f t="shared" si="38"/>
        <v>438</v>
      </c>
      <c r="D444" s="34">
        <v>38689</v>
      </c>
      <c r="E444" s="34">
        <f t="shared" si="37"/>
        <v>5681</v>
      </c>
    </row>
    <row r="445" spans="1:5">
      <c r="A445" s="34"/>
      <c r="B445" s="34"/>
      <c r="C445" s="34">
        <f t="shared" si="38"/>
        <v>439</v>
      </c>
      <c r="D445" s="35">
        <v>4.43</v>
      </c>
      <c r="E445" s="34">
        <f t="shared" si="37"/>
        <v>5694</v>
      </c>
    </row>
    <row r="446" spans="1:5">
      <c r="A446" s="34"/>
      <c r="B446" s="34"/>
      <c r="C446" s="34">
        <f t="shared" si="38"/>
        <v>440</v>
      </c>
      <c r="D446" s="34">
        <v>1548</v>
      </c>
      <c r="E446" s="34">
        <f t="shared" si="37"/>
        <v>5707</v>
      </c>
    </row>
    <row r="447" spans="1:5">
      <c r="A447" s="34"/>
      <c r="B447" s="34"/>
      <c r="C447" s="34">
        <f t="shared" si="38"/>
        <v>441</v>
      </c>
      <c r="D447" s="34">
        <v>646</v>
      </c>
      <c r="E447" s="34">
        <f t="shared" si="37"/>
        <v>5720</v>
      </c>
    </row>
    <row r="448" spans="1:5">
      <c r="A448" s="34"/>
      <c r="B448" s="34"/>
      <c r="C448" s="34">
        <f t="shared" si="38"/>
        <v>442</v>
      </c>
      <c r="D448" s="34">
        <v>177</v>
      </c>
      <c r="E448" s="34">
        <f t="shared" si="37"/>
        <v>5733</v>
      </c>
    </row>
    <row r="449" spans="1:5">
      <c r="A449" s="34"/>
      <c r="B449" s="34"/>
      <c r="C449" s="34">
        <f t="shared" si="38"/>
        <v>443</v>
      </c>
      <c r="D449" s="35">
        <v>371</v>
      </c>
      <c r="E449" s="34">
        <f t="shared" si="37"/>
        <v>5746</v>
      </c>
    </row>
    <row r="450" spans="1:5">
      <c r="A450" s="34"/>
      <c r="B450" s="34"/>
      <c r="C450" s="34">
        <f t="shared" si="38"/>
        <v>444</v>
      </c>
      <c r="D450" s="35" t="s">
        <v>92</v>
      </c>
      <c r="E450" s="34">
        <f t="shared" si="37"/>
        <v>5759</v>
      </c>
    </row>
    <row r="451" spans="1:5">
      <c r="A451" s="34"/>
      <c r="B451" s="34"/>
      <c r="C451" s="34">
        <f t="shared" si="38"/>
        <v>445</v>
      </c>
      <c r="D451" s="34">
        <v>25</v>
      </c>
      <c r="E451" s="34">
        <f t="shared" si="37"/>
        <v>5772</v>
      </c>
    </row>
    <row r="452" spans="1:5">
      <c r="A452" s="34"/>
      <c r="B452" s="34"/>
      <c r="C452" s="34">
        <f t="shared" si="38"/>
        <v>446</v>
      </c>
      <c r="D452" s="34">
        <v>6.4</v>
      </c>
      <c r="E452" s="34">
        <f t="shared" si="37"/>
        <v>5785</v>
      </c>
    </row>
    <row r="453" spans="1:5">
      <c r="A453" s="34"/>
      <c r="B453" s="34"/>
      <c r="C453" s="34">
        <f t="shared" si="38"/>
        <v>447</v>
      </c>
      <c r="D453" s="35">
        <v>8736</v>
      </c>
      <c r="E453" s="34">
        <f t="shared" si="37"/>
        <v>5798</v>
      </c>
    </row>
    <row r="454" spans="1:5">
      <c r="A454" s="34"/>
      <c r="B454" s="34"/>
      <c r="C454" s="34">
        <f t="shared" si="38"/>
        <v>448</v>
      </c>
      <c r="D454" s="34">
        <v>37200</v>
      </c>
      <c r="E454" s="34">
        <f t="shared" si="37"/>
        <v>5811</v>
      </c>
    </row>
    <row r="455" spans="1:5">
      <c r="A455" s="34"/>
      <c r="B455" s="34"/>
      <c r="C455" s="34">
        <f t="shared" si="38"/>
        <v>449</v>
      </c>
      <c r="D455" s="35">
        <v>4.26</v>
      </c>
      <c r="E455" s="34">
        <f t="shared" si="37"/>
        <v>5824</v>
      </c>
    </row>
    <row r="456" spans="1:5">
      <c r="A456" s="34"/>
      <c r="B456" s="34"/>
      <c r="C456" s="34">
        <f t="shared" si="38"/>
        <v>450</v>
      </c>
      <c r="D456" s="34">
        <v>666</v>
      </c>
      <c r="E456" s="34">
        <f t="shared" si="37"/>
        <v>5837</v>
      </c>
    </row>
    <row r="457" spans="1:5">
      <c r="A457" s="34"/>
      <c r="B457" s="34"/>
      <c r="C457" s="34">
        <f t="shared" si="38"/>
        <v>451</v>
      </c>
      <c r="D457" s="34">
        <v>39081</v>
      </c>
      <c r="E457" s="34">
        <f t="shared" ref="E457:E520" si="39">E456+13</f>
        <v>5850</v>
      </c>
    </row>
    <row r="458" spans="1:5">
      <c r="A458" s="34"/>
      <c r="B458" s="34"/>
      <c r="C458" s="34">
        <f t="shared" si="38"/>
        <v>452</v>
      </c>
      <c r="D458" s="34">
        <v>4.47</v>
      </c>
      <c r="E458" s="34">
        <f t="shared" si="39"/>
        <v>5863</v>
      </c>
    </row>
    <row r="459" spans="1:5">
      <c r="A459" s="34"/>
      <c r="B459" s="34"/>
      <c r="C459" s="34">
        <f t="shared" si="38"/>
        <v>453</v>
      </c>
      <c r="D459" s="35">
        <v>1563</v>
      </c>
      <c r="E459" s="34">
        <f t="shared" si="39"/>
        <v>5876</v>
      </c>
    </row>
    <row r="460" spans="1:5">
      <c r="A460" s="34"/>
      <c r="B460" s="34"/>
      <c r="C460" s="34">
        <f t="shared" si="38"/>
        <v>454</v>
      </c>
      <c r="D460" s="35">
        <v>700</v>
      </c>
      <c r="E460" s="34">
        <f t="shared" si="39"/>
        <v>5889</v>
      </c>
    </row>
    <row r="461" spans="1:5">
      <c r="A461" s="34"/>
      <c r="B461" s="34"/>
      <c r="C461" s="34">
        <f t="shared" si="38"/>
        <v>455</v>
      </c>
      <c r="D461" s="34">
        <v>179</v>
      </c>
      <c r="E461" s="34">
        <f t="shared" si="39"/>
        <v>5902</v>
      </c>
    </row>
    <row r="462" spans="1:5">
      <c r="A462" s="34"/>
      <c r="B462" s="34"/>
      <c r="C462" s="34">
        <f t="shared" si="38"/>
        <v>456</v>
      </c>
      <c r="D462" s="34">
        <v>372</v>
      </c>
      <c r="E462" s="34">
        <f t="shared" si="39"/>
        <v>5915</v>
      </c>
    </row>
    <row r="463" spans="1:5">
      <c r="A463" s="34"/>
      <c r="B463" s="34"/>
      <c r="C463" s="34">
        <f t="shared" si="38"/>
        <v>457</v>
      </c>
      <c r="D463" s="35" t="s">
        <v>93</v>
      </c>
      <c r="E463" s="34">
        <f t="shared" si="39"/>
        <v>5928</v>
      </c>
    </row>
    <row r="464" spans="1:5">
      <c r="A464" s="34"/>
      <c r="B464" s="34"/>
      <c r="C464" s="34">
        <f t="shared" si="38"/>
        <v>458</v>
      </c>
      <c r="D464" s="34">
        <v>12.5</v>
      </c>
      <c r="E464" s="34">
        <f t="shared" si="39"/>
        <v>5941</v>
      </c>
    </row>
    <row r="465" spans="1:5">
      <c r="A465" s="34"/>
      <c r="B465" s="34"/>
      <c r="C465" s="34">
        <f t="shared" si="38"/>
        <v>459</v>
      </c>
      <c r="D465" s="35">
        <v>3.1</v>
      </c>
      <c r="E465" s="34">
        <f t="shared" si="39"/>
        <v>5954</v>
      </c>
    </row>
    <row r="466" spans="1:5">
      <c r="A466" s="34"/>
      <c r="B466" s="34"/>
      <c r="C466" s="34">
        <f t="shared" si="38"/>
        <v>460</v>
      </c>
      <c r="D466" s="34">
        <v>4368</v>
      </c>
      <c r="E466" s="34">
        <f t="shared" si="39"/>
        <v>5967</v>
      </c>
    </row>
    <row r="467" spans="1:5">
      <c r="A467" s="34"/>
      <c r="B467" s="34"/>
      <c r="C467" s="34">
        <f t="shared" si="38"/>
        <v>461</v>
      </c>
      <c r="D467" s="34">
        <v>-4207</v>
      </c>
      <c r="E467" s="34">
        <f t="shared" si="39"/>
        <v>5980</v>
      </c>
    </row>
    <row r="468" spans="1:5">
      <c r="A468" s="34"/>
      <c r="B468" s="34"/>
      <c r="C468" s="34">
        <f t="shared" si="38"/>
        <v>462</v>
      </c>
      <c r="D468" s="34">
        <v>-0.96</v>
      </c>
      <c r="E468" s="34">
        <f t="shared" si="39"/>
        <v>5993</v>
      </c>
    </row>
    <row r="469" spans="1:5">
      <c r="A469" s="34"/>
      <c r="B469" s="34"/>
      <c r="C469" s="34">
        <f t="shared" si="38"/>
        <v>463</v>
      </c>
      <c r="D469" s="35">
        <v>-306</v>
      </c>
      <c r="E469" s="34">
        <f t="shared" si="39"/>
        <v>6006</v>
      </c>
    </row>
    <row r="470" spans="1:5">
      <c r="A470" s="34"/>
      <c r="B470" s="34"/>
      <c r="C470" s="34">
        <f t="shared" si="38"/>
        <v>464</v>
      </c>
      <c r="D470" s="35">
        <v>9305</v>
      </c>
      <c r="E470" s="34">
        <f t="shared" si="39"/>
        <v>6019</v>
      </c>
    </row>
    <row r="471" spans="1:5">
      <c r="A471" s="34"/>
      <c r="B471" s="34"/>
      <c r="C471" s="34">
        <f t="shared" si="38"/>
        <v>465</v>
      </c>
      <c r="D471" s="34">
        <v>2.13</v>
      </c>
      <c r="E471" s="34">
        <f t="shared" si="39"/>
        <v>6032</v>
      </c>
    </row>
    <row r="472" spans="1:5">
      <c r="A472" s="34"/>
      <c r="B472" s="34"/>
      <c r="C472" s="34">
        <f t="shared" si="38"/>
        <v>466</v>
      </c>
      <c r="D472" s="34">
        <v>744</v>
      </c>
      <c r="E472" s="34">
        <f t="shared" si="39"/>
        <v>6045</v>
      </c>
    </row>
    <row r="473" spans="1:5">
      <c r="A473" s="34"/>
      <c r="B473" s="34"/>
      <c r="C473" s="34">
        <f t="shared" ref="C473:C536" si="40">C472+1</f>
        <v>467</v>
      </c>
      <c r="D473" s="35">
        <v>677</v>
      </c>
      <c r="E473" s="34">
        <f t="shared" si="39"/>
        <v>6058</v>
      </c>
    </row>
    <row r="474" spans="1:5">
      <c r="A474" s="34"/>
      <c r="B474" s="34"/>
      <c r="C474" s="34">
        <f t="shared" si="40"/>
        <v>468</v>
      </c>
      <c r="D474" s="34">
        <v>170</v>
      </c>
      <c r="E474" s="34">
        <f t="shared" si="39"/>
        <v>6071</v>
      </c>
    </row>
    <row r="475" spans="1:5">
      <c r="A475" s="34"/>
      <c r="B475" s="34"/>
      <c r="C475" s="34">
        <f t="shared" si="40"/>
        <v>469</v>
      </c>
      <c r="D475" s="35">
        <v>375</v>
      </c>
      <c r="E475" s="34">
        <f t="shared" si="39"/>
        <v>6084</v>
      </c>
    </row>
    <row r="476" spans="1:5">
      <c r="A476" s="34"/>
      <c r="B476" s="34"/>
      <c r="C476" s="34">
        <f t="shared" si="40"/>
        <v>470</v>
      </c>
      <c r="D476" s="34" t="s">
        <v>93</v>
      </c>
      <c r="E476" s="34">
        <f t="shared" si="39"/>
        <v>6097</v>
      </c>
    </row>
    <row r="477" spans="1:5">
      <c r="A477" s="34"/>
      <c r="B477" s="34"/>
      <c r="C477" s="34">
        <f t="shared" si="40"/>
        <v>471</v>
      </c>
      <c r="D477" s="34">
        <v>15</v>
      </c>
      <c r="E477" s="34">
        <f t="shared" si="39"/>
        <v>6110</v>
      </c>
    </row>
    <row r="478" spans="1:5">
      <c r="A478" s="34"/>
      <c r="B478" s="34"/>
      <c r="C478" s="34">
        <f t="shared" si="40"/>
        <v>472</v>
      </c>
      <c r="D478" s="34">
        <v>3.4</v>
      </c>
      <c r="E478" s="34">
        <f t="shared" si="39"/>
        <v>6123</v>
      </c>
    </row>
    <row r="479" spans="1:5">
      <c r="A479" s="34"/>
      <c r="B479" s="34"/>
      <c r="C479" s="34">
        <f t="shared" si="40"/>
        <v>473</v>
      </c>
      <c r="D479" s="35">
        <v>4004</v>
      </c>
      <c r="E479" s="34">
        <f t="shared" si="39"/>
        <v>6136</v>
      </c>
    </row>
    <row r="480" spans="1:5">
      <c r="A480" s="34"/>
      <c r="B480" s="34"/>
      <c r="C480" s="34">
        <f t="shared" si="40"/>
        <v>474</v>
      </c>
      <c r="D480" s="35">
        <v>7725</v>
      </c>
      <c r="E480" s="34">
        <f t="shared" si="39"/>
        <v>6149</v>
      </c>
    </row>
    <row r="481" spans="1:5">
      <c r="A481" s="34"/>
      <c r="B481" s="34"/>
      <c r="C481" s="34">
        <f t="shared" si="40"/>
        <v>475</v>
      </c>
      <c r="D481" s="34">
        <v>1.93</v>
      </c>
      <c r="E481" s="34">
        <f t="shared" si="39"/>
        <v>6162</v>
      </c>
    </row>
    <row r="482" spans="1:5">
      <c r="A482" s="34"/>
      <c r="B482" s="34"/>
      <c r="C482" s="34">
        <f t="shared" si="40"/>
        <v>476</v>
      </c>
      <c r="D482" s="34">
        <v>560</v>
      </c>
      <c r="E482" s="34">
        <f t="shared" si="39"/>
        <v>6175</v>
      </c>
    </row>
    <row r="483" spans="1:5">
      <c r="A483" s="34"/>
      <c r="B483" s="34"/>
      <c r="C483" s="34">
        <f t="shared" si="40"/>
        <v>477</v>
      </c>
      <c r="D483" s="35">
        <v>12198</v>
      </c>
      <c r="E483" s="34">
        <f t="shared" si="39"/>
        <v>6188</v>
      </c>
    </row>
    <row r="484" spans="1:5">
      <c r="A484" s="34"/>
      <c r="B484" s="34"/>
      <c r="C484" s="34">
        <f t="shared" si="40"/>
        <v>478</v>
      </c>
      <c r="D484" s="34">
        <v>3.05</v>
      </c>
      <c r="E484" s="34">
        <f t="shared" si="39"/>
        <v>6201</v>
      </c>
    </row>
    <row r="485" spans="1:5">
      <c r="A485" s="34"/>
      <c r="B485" s="34"/>
      <c r="C485" s="34">
        <f t="shared" si="40"/>
        <v>479</v>
      </c>
      <c r="D485" s="35">
        <v>813</v>
      </c>
      <c r="E485" s="34">
        <f t="shared" si="39"/>
        <v>6214</v>
      </c>
    </row>
    <row r="486" spans="1:5">
      <c r="A486" s="34"/>
      <c r="B486" s="34"/>
      <c r="C486" s="34">
        <f t="shared" si="40"/>
        <v>480</v>
      </c>
      <c r="D486" s="34">
        <v>885</v>
      </c>
      <c r="E486" s="34">
        <f t="shared" si="39"/>
        <v>6227</v>
      </c>
    </row>
    <row r="487" spans="1:5">
      <c r="A487" s="34"/>
      <c r="B487" s="34"/>
      <c r="C487" s="34">
        <f t="shared" si="40"/>
        <v>481</v>
      </c>
      <c r="D487" s="34">
        <v>203</v>
      </c>
      <c r="E487" s="34">
        <f t="shared" si="39"/>
        <v>6240</v>
      </c>
    </row>
    <row r="488" spans="1:5">
      <c r="A488" s="34"/>
      <c r="B488" s="34"/>
      <c r="C488" s="34">
        <f t="shared" si="40"/>
        <v>482</v>
      </c>
      <c r="D488" s="34">
        <v>376</v>
      </c>
      <c r="E488" s="34">
        <f t="shared" si="39"/>
        <v>6253</v>
      </c>
    </row>
    <row r="489" spans="1:5">
      <c r="A489" s="34"/>
      <c r="B489" s="34"/>
      <c r="C489" s="34">
        <f t="shared" si="40"/>
        <v>483</v>
      </c>
      <c r="D489" s="35" t="s">
        <v>93</v>
      </c>
      <c r="E489" s="34">
        <f t="shared" si="39"/>
        <v>6266</v>
      </c>
    </row>
    <row r="490" spans="1:5">
      <c r="A490" s="34"/>
      <c r="B490" s="34"/>
      <c r="C490" s="34">
        <f t="shared" si="40"/>
        <v>484</v>
      </c>
      <c r="D490" s="35">
        <v>15</v>
      </c>
      <c r="E490" s="34">
        <f t="shared" si="39"/>
        <v>6279</v>
      </c>
    </row>
    <row r="491" spans="1:5">
      <c r="A491" s="34"/>
      <c r="B491" s="34"/>
      <c r="C491" s="34">
        <f t="shared" si="40"/>
        <v>485</v>
      </c>
      <c r="D491" s="34">
        <v>1.4</v>
      </c>
      <c r="E491" s="34">
        <f t="shared" si="39"/>
        <v>6292</v>
      </c>
    </row>
    <row r="492" spans="1:5">
      <c r="A492" s="34"/>
      <c r="B492" s="34"/>
      <c r="C492" s="34">
        <f t="shared" si="40"/>
        <v>486</v>
      </c>
      <c r="D492" s="34">
        <v>4004</v>
      </c>
      <c r="E492" s="34">
        <f t="shared" si="39"/>
        <v>6305</v>
      </c>
    </row>
    <row r="493" spans="1:5">
      <c r="A493" s="34"/>
      <c r="B493" s="34"/>
      <c r="C493" s="34">
        <f t="shared" si="40"/>
        <v>487</v>
      </c>
      <c r="D493" s="35">
        <v>3099</v>
      </c>
      <c r="E493" s="34">
        <f t="shared" si="39"/>
        <v>6318</v>
      </c>
    </row>
    <row r="494" spans="1:5">
      <c r="A494" s="34"/>
      <c r="B494" s="34"/>
      <c r="C494" s="34">
        <f t="shared" si="40"/>
        <v>488</v>
      </c>
      <c r="D494" s="34">
        <v>0.77</v>
      </c>
      <c r="E494" s="34">
        <f t="shared" si="39"/>
        <v>6331</v>
      </c>
    </row>
    <row r="495" spans="1:5">
      <c r="A495" s="34"/>
      <c r="B495" s="34"/>
      <c r="C495" s="34">
        <f t="shared" si="40"/>
        <v>489</v>
      </c>
      <c r="D495" s="35">
        <v>558</v>
      </c>
      <c r="E495" s="34">
        <f t="shared" si="39"/>
        <v>6344</v>
      </c>
    </row>
    <row r="496" spans="1:5">
      <c r="A496" s="34"/>
      <c r="B496" s="34"/>
      <c r="C496" s="34">
        <f t="shared" si="40"/>
        <v>490</v>
      </c>
      <c r="D496" s="34">
        <v>2905</v>
      </c>
      <c r="E496" s="34">
        <f t="shared" si="39"/>
        <v>6357</v>
      </c>
    </row>
    <row r="497" spans="1:5">
      <c r="A497" s="34"/>
      <c r="B497" s="34"/>
      <c r="C497" s="34">
        <f t="shared" si="40"/>
        <v>491</v>
      </c>
      <c r="D497" s="34">
        <v>0.73</v>
      </c>
      <c r="E497" s="34">
        <f t="shared" si="39"/>
        <v>6370</v>
      </c>
    </row>
    <row r="498" spans="1:5">
      <c r="A498" s="34"/>
      <c r="B498" s="34"/>
      <c r="C498" s="34">
        <f t="shared" si="40"/>
        <v>492</v>
      </c>
      <c r="D498" s="34">
        <v>194</v>
      </c>
      <c r="E498" s="34">
        <f t="shared" si="39"/>
        <v>6383</v>
      </c>
    </row>
    <row r="499" spans="1:5">
      <c r="A499" s="34"/>
      <c r="B499" s="34"/>
      <c r="C499" s="34">
        <f t="shared" si="40"/>
        <v>493</v>
      </c>
      <c r="D499" s="35">
        <v>523</v>
      </c>
      <c r="E499" s="34">
        <f t="shared" si="39"/>
        <v>6396</v>
      </c>
    </row>
    <row r="500" spans="1:5">
      <c r="A500" s="34"/>
      <c r="B500" s="34"/>
      <c r="C500" s="34">
        <f t="shared" si="40"/>
        <v>494</v>
      </c>
      <c r="D500" s="35">
        <v>48</v>
      </c>
      <c r="E500" s="34">
        <f t="shared" si="39"/>
        <v>6409</v>
      </c>
    </row>
    <row r="501" spans="1:5">
      <c r="A501" s="34"/>
      <c r="B501" s="34"/>
      <c r="C501" s="34">
        <f t="shared" si="40"/>
        <v>495</v>
      </c>
      <c r="D501" s="34">
        <v>377</v>
      </c>
      <c r="E501" s="34">
        <f t="shared" si="39"/>
        <v>6422</v>
      </c>
    </row>
    <row r="502" spans="1:5">
      <c r="A502" s="34"/>
      <c r="B502" s="34"/>
      <c r="C502" s="34">
        <f t="shared" si="40"/>
        <v>496</v>
      </c>
      <c r="D502" s="34" t="s">
        <v>93</v>
      </c>
      <c r="E502" s="34">
        <f t="shared" si="39"/>
        <v>6435</v>
      </c>
    </row>
    <row r="503" spans="1:5">
      <c r="A503" s="34"/>
      <c r="B503" s="34"/>
      <c r="C503" s="34">
        <f t="shared" si="40"/>
        <v>497</v>
      </c>
      <c r="D503" s="35">
        <v>7.5</v>
      </c>
      <c r="E503" s="34">
        <f t="shared" si="39"/>
        <v>6448</v>
      </c>
    </row>
    <row r="504" spans="1:5">
      <c r="A504" s="34"/>
      <c r="B504" s="34"/>
      <c r="C504" s="34">
        <f t="shared" si="40"/>
        <v>498</v>
      </c>
      <c r="D504" s="34">
        <v>1.4</v>
      </c>
      <c r="E504" s="34">
        <f t="shared" si="39"/>
        <v>6461</v>
      </c>
    </row>
    <row r="505" spans="1:5">
      <c r="A505" s="34"/>
      <c r="B505" s="34"/>
      <c r="C505" s="34">
        <f t="shared" si="40"/>
        <v>499</v>
      </c>
      <c r="D505" s="35">
        <v>4004</v>
      </c>
      <c r="E505" s="34">
        <f t="shared" si="39"/>
        <v>6474</v>
      </c>
    </row>
    <row r="506" spans="1:5">
      <c r="A506" s="34"/>
      <c r="B506" s="34"/>
      <c r="C506" s="34">
        <f t="shared" si="40"/>
        <v>500</v>
      </c>
      <c r="D506" s="34">
        <v>3232</v>
      </c>
      <c r="E506" s="34">
        <f t="shared" si="39"/>
        <v>6487</v>
      </c>
    </row>
    <row r="507" spans="1:5">
      <c r="A507" s="34"/>
      <c r="B507" s="34"/>
      <c r="C507" s="34">
        <f t="shared" si="40"/>
        <v>501</v>
      </c>
      <c r="D507" s="34">
        <v>0.81</v>
      </c>
      <c r="E507" s="34">
        <f t="shared" si="39"/>
        <v>6500</v>
      </c>
    </row>
    <row r="508" spans="1:5">
      <c r="A508" s="34"/>
      <c r="B508" s="34"/>
      <c r="C508" s="34">
        <f t="shared" si="40"/>
        <v>502</v>
      </c>
      <c r="D508" s="34">
        <v>561</v>
      </c>
      <c r="E508" s="34">
        <f t="shared" si="39"/>
        <v>6513</v>
      </c>
    </row>
    <row r="509" spans="1:5">
      <c r="A509" s="34"/>
      <c r="B509" s="34"/>
      <c r="C509" s="34">
        <f t="shared" si="40"/>
        <v>503</v>
      </c>
      <c r="D509" s="35">
        <v>4677</v>
      </c>
      <c r="E509" s="34">
        <f t="shared" si="39"/>
        <v>6526</v>
      </c>
    </row>
    <row r="510" spans="1:5">
      <c r="A510" s="34"/>
      <c r="B510" s="34"/>
      <c r="C510" s="34">
        <f t="shared" si="40"/>
        <v>504</v>
      </c>
      <c r="D510" s="35">
        <v>1.17</v>
      </c>
      <c r="E510" s="34">
        <f t="shared" si="39"/>
        <v>6539</v>
      </c>
    </row>
    <row r="511" spans="1:5">
      <c r="A511" s="34"/>
      <c r="B511" s="34"/>
      <c r="C511" s="34">
        <f t="shared" si="40"/>
        <v>505</v>
      </c>
      <c r="D511" s="34">
        <v>624</v>
      </c>
      <c r="E511" s="34">
        <f t="shared" si="39"/>
        <v>6552</v>
      </c>
    </row>
    <row r="512" spans="1:5">
      <c r="A512" s="34"/>
      <c r="B512" s="34"/>
      <c r="C512" s="34">
        <f t="shared" si="40"/>
        <v>506</v>
      </c>
      <c r="D512" s="34">
        <v>812</v>
      </c>
      <c r="E512" s="34">
        <f t="shared" si="39"/>
        <v>6565</v>
      </c>
    </row>
    <row r="513" spans="1:5">
      <c r="A513" s="34"/>
      <c r="B513" s="34"/>
      <c r="C513" s="34">
        <f t="shared" si="40"/>
        <v>507</v>
      </c>
      <c r="D513" s="35">
        <v>156</v>
      </c>
      <c r="E513" s="34">
        <f t="shared" si="39"/>
        <v>6578</v>
      </c>
    </row>
    <row r="514" spans="1:5">
      <c r="A514" s="34"/>
      <c r="B514" s="34"/>
      <c r="C514" s="34">
        <f t="shared" si="40"/>
        <v>508</v>
      </c>
      <c r="D514" s="34">
        <v>378</v>
      </c>
      <c r="E514" s="34">
        <f t="shared" si="39"/>
        <v>6591</v>
      </c>
    </row>
    <row r="515" spans="1:5">
      <c r="A515" s="34"/>
      <c r="B515" s="34"/>
      <c r="C515" s="34">
        <f t="shared" si="40"/>
        <v>509</v>
      </c>
      <c r="D515" s="35" t="s">
        <v>93</v>
      </c>
      <c r="E515" s="34">
        <f t="shared" si="39"/>
        <v>6604</v>
      </c>
    </row>
    <row r="516" spans="1:5">
      <c r="A516" s="34"/>
      <c r="B516" s="34"/>
      <c r="C516" s="34">
        <f t="shared" si="40"/>
        <v>510</v>
      </c>
      <c r="D516" s="34">
        <v>10</v>
      </c>
      <c r="E516" s="34">
        <f t="shared" si="39"/>
        <v>6617</v>
      </c>
    </row>
    <row r="517" spans="1:5">
      <c r="A517" s="34"/>
      <c r="B517" s="34"/>
      <c r="C517" s="34">
        <f t="shared" si="40"/>
        <v>511</v>
      </c>
      <c r="D517" s="34">
        <v>3.3</v>
      </c>
      <c r="E517" s="34">
        <f t="shared" si="39"/>
        <v>6630</v>
      </c>
    </row>
    <row r="518" spans="1:5">
      <c r="A518" s="34"/>
      <c r="B518" s="34"/>
      <c r="C518" s="34">
        <f t="shared" si="40"/>
        <v>512</v>
      </c>
      <c r="D518" s="34">
        <v>4004</v>
      </c>
      <c r="E518" s="34">
        <f t="shared" si="39"/>
        <v>6643</v>
      </c>
    </row>
    <row r="519" spans="1:5">
      <c r="A519" s="34"/>
      <c r="B519" s="34"/>
      <c r="C519" s="34">
        <f t="shared" si="40"/>
        <v>513</v>
      </c>
      <c r="D519" s="35">
        <v>10229</v>
      </c>
      <c r="E519" s="34">
        <f t="shared" si="39"/>
        <v>6656</v>
      </c>
    </row>
    <row r="520" spans="1:5">
      <c r="A520" s="34"/>
      <c r="B520" s="34"/>
      <c r="C520" s="34">
        <f t="shared" si="40"/>
        <v>514</v>
      </c>
      <c r="D520" s="35">
        <v>2.5499999999999998</v>
      </c>
      <c r="E520" s="34">
        <f t="shared" si="39"/>
        <v>6669</v>
      </c>
    </row>
    <row r="521" spans="1:5">
      <c r="A521" s="34"/>
      <c r="B521" s="34"/>
      <c r="C521" s="34">
        <f t="shared" si="40"/>
        <v>515</v>
      </c>
      <c r="D521" s="34">
        <v>763</v>
      </c>
      <c r="E521" s="34">
        <f t="shared" ref="E521:E584" si="41">E520+13</f>
        <v>6682</v>
      </c>
    </row>
    <row r="522" spans="1:5">
      <c r="A522" s="34"/>
      <c r="B522" s="34"/>
      <c r="C522" s="34">
        <f t="shared" si="40"/>
        <v>516</v>
      </c>
      <c r="D522" s="34">
        <v>7649</v>
      </c>
      <c r="E522" s="34">
        <f t="shared" si="41"/>
        <v>6695</v>
      </c>
    </row>
    <row r="523" spans="1:5">
      <c r="A523" s="34"/>
      <c r="B523" s="34"/>
      <c r="C523" s="34">
        <f t="shared" si="40"/>
        <v>517</v>
      </c>
      <c r="D523" s="34">
        <v>1.91</v>
      </c>
      <c r="E523" s="34">
        <f t="shared" si="41"/>
        <v>6708</v>
      </c>
    </row>
    <row r="524" spans="1:5">
      <c r="A524" s="34"/>
      <c r="B524" s="34"/>
      <c r="C524" s="34">
        <f t="shared" si="40"/>
        <v>518</v>
      </c>
      <c r="D524" s="34">
        <v>765</v>
      </c>
      <c r="E524" s="34">
        <f t="shared" si="41"/>
        <v>6721</v>
      </c>
    </row>
    <row r="525" spans="1:5">
      <c r="A525" s="34"/>
      <c r="B525" s="34"/>
      <c r="C525" s="34">
        <f t="shared" si="40"/>
        <v>519</v>
      </c>
      <c r="D525" s="35">
        <v>571</v>
      </c>
      <c r="E525" s="34">
        <f t="shared" si="41"/>
        <v>6734</v>
      </c>
    </row>
    <row r="526" spans="1:5">
      <c r="A526" s="34"/>
      <c r="B526" s="34"/>
      <c r="C526" s="34">
        <f t="shared" si="40"/>
        <v>520</v>
      </c>
      <c r="D526" s="34">
        <v>191</v>
      </c>
      <c r="E526" s="34">
        <f t="shared" si="41"/>
        <v>6747</v>
      </c>
    </row>
    <row r="527" spans="1:5">
      <c r="A527" s="34"/>
      <c r="B527" s="34"/>
      <c r="C527" s="34">
        <f t="shared" si="40"/>
        <v>521</v>
      </c>
      <c r="D527" s="34">
        <v>379</v>
      </c>
      <c r="E527" s="34">
        <f t="shared" si="41"/>
        <v>6760</v>
      </c>
    </row>
    <row r="528" spans="1:5">
      <c r="A528" s="34"/>
      <c r="B528" s="34"/>
      <c r="C528" s="34">
        <f t="shared" si="40"/>
        <v>522</v>
      </c>
      <c r="D528" s="34" t="s">
        <v>93</v>
      </c>
      <c r="E528" s="34">
        <f t="shared" si="41"/>
        <v>6773</v>
      </c>
    </row>
    <row r="529" spans="1:5">
      <c r="A529" s="34"/>
      <c r="B529" s="34"/>
      <c r="C529" s="34">
        <f t="shared" si="40"/>
        <v>523</v>
      </c>
      <c r="D529" s="35">
        <v>5</v>
      </c>
      <c r="E529" s="34">
        <f t="shared" si="41"/>
        <v>6786</v>
      </c>
    </row>
    <row r="530" spans="1:5">
      <c r="A530" s="34"/>
      <c r="B530" s="34"/>
      <c r="C530" s="34">
        <f t="shared" si="40"/>
        <v>524</v>
      </c>
      <c r="D530" s="35">
        <v>0.6</v>
      </c>
      <c r="E530" s="34">
        <f t="shared" si="41"/>
        <v>6799</v>
      </c>
    </row>
    <row r="531" spans="1:5">
      <c r="A531" s="34"/>
      <c r="B531" s="34"/>
      <c r="C531" s="34">
        <f t="shared" si="40"/>
        <v>525</v>
      </c>
      <c r="D531" s="34">
        <v>4004</v>
      </c>
      <c r="E531" s="34">
        <f t="shared" si="41"/>
        <v>6812</v>
      </c>
    </row>
    <row r="532" spans="1:5">
      <c r="A532" s="34"/>
      <c r="B532" s="34"/>
      <c r="C532" s="34">
        <f t="shared" si="40"/>
        <v>526</v>
      </c>
      <c r="D532" s="34">
        <v>1441</v>
      </c>
      <c r="E532" s="34">
        <f t="shared" si="41"/>
        <v>6825</v>
      </c>
    </row>
    <row r="533" spans="1:5">
      <c r="A533" s="34"/>
      <c r="B533" s="34"/>
      <c r="C533" s="34">
        <f t="shared" si="40"/>
        <v>527</v>
      </c>
      <c r="D533" s="34">
        <v>0.36</v>
      </c>
      <c r="E533" s="34">
        <f t="shared" si="41"/>
        <v>6838</v>
      </c>
    </row>
    <row r="534" spans="1:5">
      <c r="A534" s="34"/>
      <c r="B534" s="34"/>
      <c r="C534" s="34">
        <f t="shared" si="40"/>
        <v>528</v>
      </c>
      <c r="D534" s="34">
        <v>621</v>
      </c>
      <c r="E534" s="34">
        <f t="shared" si="41"/>
        <v>6851</v>
      </c>
    </row>
    <row r="535" spans="1:5">
      <c r="A535" s="34"/>
      <c r="B535" s="34"/>
      <c r="C535" s="34">
        <f t="shared" si="40"/>
        <v>529</v>
      </c>
      <c r="D535" s="35">
        <v>2038</v>
      </c>
      <c r="E535" s="34">
        <f t="shared" si="41"/>
        <v>6864</v>
      </c>
    </row>
    <row r="536" spans="1:5">
      <c r="A536" s="34"/>
      <c r="B536" s="34"/>
      <c r="C536" s="34">
        <f t="shared" si="40"/>
        <v>530</v>
      </c>
      <c r="D536" s="34">
        <v>0.51</v>
      </c>
      <c r="E536" s="34">
        <f t="shared" si="41"/>
        <v>6877</v>
      </c>
    </row>
    <row r="537" spans="1:5">
      <c r="A537" s="34"/>
      <c r="B537" s="34"/>
      <c r="C537" s="34">
        <f t="shared" ref="C537:C600" si="42">C536+1</f>
        <v>531</v>
      </c>
      <c r="D537" s="34">
        <v>408</v>
      </c>
      <c r="E537" s="34">
        <f t="shared" si="41"/>
        <v>6890</v>
      </c>
    </row>
    <row r="538" spans="1:5">
      <c r="A538" s="34"/>
      <c r="B538" s="34"/>
      <c r="C538" s="34">
        <f t="shared" si="42"/>
        <v>532</v>
      </c>
      <c r="D538" s="34">
        <v>877</v>
      </c>
      <c r="E538" s="34">
        <f t="shared" si="41"/>
        <v>6903</v>
      </c>
    </row>
    <row r="539" spans="1:5">
      <c r="A539" s="34"/>
      <c r="B539" s="34"/>
      <c r="C539" s="34">
        <f t="shared" si="42"/>
        <v>533</v>
      </c>
      <c r="D539" s="35">
        <v>102</v>
      </c>
      <c r="E539" s="34">
        <f t="shared" si="41"/>
        <v>6916</v>
      </c>
    </row>
    <row r="540" spans="1:5">
      <c r="A540" s="34"/>
      <c r="B540" s="34"/>
      <c r="C540" s="34">
        <f t="shared" si="42"/>
        <v>534</v>
      </c>
      <c r="D540" s="35">
        <v>380</v>
      </c>
      <c r="E540" s="34">
        <f t="shared" si="41"/>
        <v>6929</v>
      </c>
    </row>
    <row r="541" spans="1:5">
      <c r="A541" s="34"/>
      <c r="B541" s="34"/>
      <c r="C541" s="34">
        <f t="shared" si="42"/>
        <v>535</v>
      </c>
      <c r="D541" s="34" t="s">
        <v>93</v>
      </c>
      <c r="E541" s="34">
        <f t="shared" si="41"/>
        <v>6942</v>
      </c>
    </row>
    <row r="542" spans="1:5">
      <c r="A542" s="34"/>
      <c r="B542" s="34"/>
      <c r="C542" s="34">
        <f t="shared" si="42"/>
        <v>536</v>
      </c>
      <c r="D542" s="34">
        <v>7.5</v>
      </c>
      <c r="E542" s="34">
        <f t="shared" si="41"/>
        <v>6955</v>
      </c>
    </row>
    <row r="543" spans="1:5">
      <c r="A543" s="34"/>
      <c r="B543" s="34"/>
      <c r="C543" s="34">
        <f t="shared" si="42"/>
        <v>537</v>
      </c>
      <c r="D543" s="34">
        <v>1.4</v>
      </c>
      <c r="E543" s="34">
        <f t="shared" si="41"/>
        <v>6968</v>
      </c>
    </row>
    <row r="544" spans="1:5">
      <c r="A544" s="34"/>
      <c r="B544" s="34"/>
      <c r="C544" s="34">
        <f t="shared" si="42"/>
        <v>538</v>
      </c>
      <c r="D544" s="34">
        <v>4004</v>
      </c>
      <c r="E544" s="34">
        <f t="shared" si="41"/>
        <v>6981</v>
      </c>
    </row>
    <row r="545" spans="1:5">
      <c r="A545" s="34"/>
      <c r="B545" s="34"/>
      <c r="C545" s="34">
        <f t="shared" si="42"/>
        <v>539</v>
      </c>
      <c r="D545" s="34">
        <v>3534</v>
      </c>
      <c r="E545" s="34">
        <f t="shared" si="41"/>
        <v>6994</v>
      </c>
    </row>
    <row r="546" spans="1:5">
      <c r="A546" s="34"/>
      <c r="B546" s="34"/>
      <c r="C546" s="34">
        <f t="shared" si="42"/>
        <v>540</v>
      </c>
      <c r="D546" s="34">
        <v>0.88</v>
      </c>
      <c r="E546" s="34">
        <f t="shared" si="41"/>
        <v>7007</v>
      </c>
    </row>
    <row r="547" spans="1:5">
      <c r="A547" s="34"/>
      <c r="B547" s="34"/>
      <c r="C547" s="34">
        <f t="shared" si="42"/>
        <v>541</v>
      </c>
      <c r="D547" s="34">
        <v>629</v>
      </c>
      <c r="E547" s="34">
        <f t="shared" si="41"/>
        <v>7020</v>
      </c>
    </row>
    <row r="548" spans="1:5">
      <c r="A548" s="34"/>
      <c r="B548" s="34"/>
      <c r="C548" s="34">
        <f t="shared" si="42"/>
        <v>542</v>
      </c>
      <c r="D548" s="34">
        <v>4430</v>
      </c>
      <c r="E548" s="34">
        <f t="shared" si="41"/>
        <v>7033</v>
      </c>
    </row>
    <row r="549" spans="1:5">
      <c r="A549" s="34"/>
      <c r="B549" s="34"/>
      <c r="C549" s="34">
        <f t="shared" si="42"/>
        <v>543</v>
      </c>
      <c r="D549" s="35">
        <v>1.1100000000000001</v>
      </c>
      <c r="E549" s="34">
        <f t="shared" si="41"/>
        <v>7046</v>
      </c>
    </row>
    <row r="550" spans="1:5">
      <c r="A550" s="34"/>
      <c r="B550" s="34"/>
      <c r="C550" s="34">
        <f t="shared" si="42"/>
        <v>544</v>
      </c>
      <c r="D550" s="35">
        <v>591</v>
      </c>
      <c r="E550" s="34">
        <f t="shared" si="41"/>
        <v>7059</v>
      </c>
    </row>
    <row r="551" spans="1:5">
      <c r="A551" s="34"/>
      <c r="B551" s="34"/>
      <c r="C551" s="34">
        <f t="shared" si="42"/>
        <v>545</v>
      </c>
      <c r="D551" s="35">
        <v>789</v>
      </c>
      <c r="E551" s="34">
        <f t="shared" si="41"/>
        <v>7072</v>
      </c>
    </row>
    <row r="552" spans="1:5">
      <c r="A552" s="34"/>
      <c r="B552" s="34"/>
      <c r="C552" s="34">
        <f t="shared" si="42"/>
        <v>546</v>
      </c>
      <c r="D552" s="34">
        <v>148</v>
      </c>
      <c r="E552" s="34">
        <f t="shared" si="41"/>
        <v>7085</v>
      </c>
    </row>
    <row r="553" spans="1:5">
      <c r="A553" s="34"/>
      <c r="B553" s="34"/>
      <c r="C553" s="34">
        <f t="shared" si="42"/>
        <v>547</v>
      </c>
      <c r="D553" s="35">
        <v>381</v>
      </c>
      <c r="E553" s="34">
        <f t="shared" si="41"/>
        <v>7098</v>
      </c>
    </row>
    <row r="554" spans="1:5">
      <c r="A554" s="34"/>
      <c r="B554" s="34"/>
      <c r="C554" s="34">
        <f t="shared" si="42"/>
        <v>548</v>
      </c>
      <c r="D554" s="34" t="s">
        <v>93</v>
      </c>
      <c r="E554" s="34">
        <f t="shared" si="41"/>
        <v>7111</v>
      </c>
    </row>
    <row r="555" spans="1:5">
      <c r="A555" s="34"/>
      <c r="B555" s="34"/>
      <c r="C555" s="34">
        <f t="shared" si="42"/>
        <v>549</v>
      </c>
      <c r="D555" s="35">
        <v>15</v>
      </c>
      <c r="E555" s="34">
        <f t="shared" si="41"/>
        <v>7124</v>
      </c>
    </row>
    <row r="556" spans="1:5">
      <c r="A556" s="34"/>
      <c r="B556" s="34"/>
      <c r="C556" s="34">
        <f t="shared" si="42"/>
        <v>550</v>
      </c>
      <c r="D556" s="34">
        <v>2.6</v>
      </c>
      <c r="E556" s="34">
        <f t="shared" si="41"/>
        <v>7137</v>
      </c>
    </row>
    <row r="557" spans="1:5">
      <c r="A557" s="34"/>
      <c r="B557" s="34"/>
      <c r="C557" s="34">
        <f t="shared" si="42"/>
        <v>551</v>
      </c>
      <c r="D557" s="34">
        <v>6916</v>
      </c>
      <c r="E557" s="34">
        <f t="shared" si="41"/>
        <v>7150</v>
      </c>
    </row>
    <row r="558" spans="1:5">
      <c r="A558" s="34"/>
      <c r="B558" s="34"/>
      <c r="C558" s="34">
        <f t="shared" si="42"/>
        <v>552</v>
      </c>
      <c r="D558" s="34">
        <v>9595</v>
      </c>
      <c r="E558" s="34">
        <f t="shared" si="41"/>
        <v>7163</v>
      </c>
    </row>
    <row r="559" spans="1:5">
      <c r="A559" s="34"/>
      <c r="B559" s="34"/>
      <c r="C559" s="34">
        <f t="shared" si="42"/>
        <v>553</v>
      </c>
      <c r="D559" s="35">
        <v>1.39</v>
      </c>
      <c r="E559" s="34">
        <f t="shared" si="41"/>
        <v>7176</v>
      </c>
    </row>
    <row r="560" spans="1:5">
      <c r="A560" s="34"/>
      <c r="B560" s="34"/>
      <c r="C560" s="34">
        <f t="shared" si="42"/>
        <v>554</v>
      </c>
      <c r="D560" s="35">
        <v>528</v>
      </c>
      <c r="E560" s="34">
        <f t="shared" si="41"/>
        <v>7189</v>
      </c>
    </row>
    <row r="561" spans="1:5">
      <c r="A561" s="34"/>
      <c r="B561" s="34"/>
      <c r="C561" s="34">
        <f t="shared" si="42"/>
        <v>555</v>
      </c>
      <c r="D561" s="35">
        <v>13940</v>
      </c>
      <c r="E561" s="34">
        <f t="shared" si="41"/>
        <v>7202</v>
      </c>
    </row>
    <row r="562" spans="1:5">
      <c r="A562" s="34"/>
      <c r="B562" s="34"/>
      <c r="C562" s="34">
        <f t="shared" si="42"/>
        <v>556</v>
      </c>
      <c r="D562" s="34">
        <v>2.02</v>
      </c>
      <c r="E562" s="34">
        <f t="shared" si="41"/>
        <v>7215</v>
      </c>
    </row>
    <row r="563" spans="1:5">
      <c r="A563" s="34"/>
      <c r="B563" s="34"/>
      <c r="C563" s="34">
        <f t="shared" si="42"/>
        <v>557</v>
      </c>
      <c r="D563" s="35">
        <v>929</v>
      </c>
      <c r="E563" s="34">
        <f t="shared" si="41"/>
        <v>7228</v>
      </c>
    </row>
    <row r="564" spans="1:5">
      <c r="A564" s="34"/>
      <c r="B564" s="34"/>
      <c r="C564" s="34">
        <f t="shared" si="42"/>
        <v>558</v>
      </c>
      <c r="D564" s="34">
        <v>767</v>
      </c>
      <c r="E564" s="34">
        <f t="shared" si="41"/>
        <v>7241</v>
      </c>
    </row>
    <row r="565" spans="1:5">
      <c r="A565" s="34"/>
      <c r="B565" s="34"/>
      <c r="C565" s="34">
        <f t="shared" si="42"/>
        <v>559</v>
      </c>
      <c r="D565" s="35">
        <v>134</v>
      </c>
      <c r="E565" s="34">
        <f t="shared" si="41"/>
        <v>7254</v>
      </c>
    </row>
    <row r="566" spans="1:5">
      <c r="A566" s="34"/>
      <c r="B566" s="34"/>
      <c r="C566" s="34">
        <f t="shared" si="42"/>
        <v>560</v>
      </c>
      <c r="D566" s="34">
        <v>382</v>
      </c>
      <c r="E566" s="34">
        <f t="shared" si="41"/>
        <v>7267</v>
      </c>
    </row>
    <row r="567" spans="1:5">
      <c r="A567" s="34"/>
      <c r="B567" s="34"/>
      <c r="C567" s="34">
        <f t="shared" si="42"/>
        <v>561</v>
      </c>
      <c r="D567" s="34" t="s">
        <v>93</v>
      </c>
      <c r="E567" s="34">
        <f t="shared" si="41"/>
        <v>7280</v>
      </c>
    </row>
    <row r="568" spans="1:5">
      <c r="A568" s="34"/>
      <c r="B568" s="34"/>
      <c r="C568" s="34">
        <f t="shared" si="42"/>
        <v>562</v>
      </c>
      <c r="D568" s="34">
        <v>15</v>
      </c>
      <c r="E568" s="34">
        <f t="shared" si="41"/>
        <v>7293</v>
      </c>
    </row>
    <row r="569" spans="1:5">
      <c r="A569" s="34"/>
      <c r="B569" s="34"/>
      <c r="C569" s="34">
        <f t="shared" si="42"/>
        <v>563</v>
      </c>
      <c r="D569" s="35">
        <v>2.7</v>
      </c>
      <c r="E569" s="34">
        <f t="shared" si="41"/>
        <v>7306</v>
      </c>
    </row>
    <row r="570" spans="1:5">
      <c r="A570" s="34"/>
      <c r="B570" s="34"/>
      <c r="C570" s="34">
        <f t="shared" si="42"/>
        <v>564</v>
      </c>
      <c r="D570" s="35">
        <v>6916</v>
      </c>
      <c r="E570" s="34">
        <f t="shared" si="41"/>
        <v>7319</v>
      </c>
    </row>
    <row r="571" spans="1:5">
      <c r="A571" s="34"/>
      <c r="B571" s="34"/>
      <c r="C571" s="34">
        <f t="shared" si="42"/>
        <v>565</v>
      </c>
      <c r="D571" s="34">
        <v>11114</v>
      </c>
      <c r="E571" s="34">
        <f t="shared" si="41"/>
        <v>7332</v>
      </c>
    </row>
    <row r="572" spans="1:5">
      <c r="A572" s="34"/>
      <c r="B572" s="34"/>
      <c r="C572" s="34">
        <f t="shared" si="42"/>
        <v>566</v>
      </c>
      <c r="D572" s="34">
        <v>1.61</v>
      </c>
      <c r="E572" s="34">
        <f t="shared" si="41"/>
        <v>7345</v>
      </c>
    </row>
    <row r="573" spans="1:5">
      <c r="A573" s="34"/>
      <c r="B573" s="34"/>
      <c r="C573" s="34">
        <f t="shared" si="42"/>
        <v>567</v>
      </c>
      <c r="D573" s="34">
        <v>597</v>
      </c>
      <c r="E573" s="34">
        <f t="shared" si="41"/>
        <v>7358</v>
      </c>
    </row>
    <row r="574" spans="1:5">
      <c r="A574" s="34"/>
      <c r="B574" s="34"/>
      <c r="C574" s="34">
        <f t="shared" si="42"/>
        <v>568</v>
      </c>
      <c r="D574" s="34">
        <v>19616</v>
      </c>
      <c r="E574" s="34">
        <f t="shared" si="41"/>
        <v>7371</v>
      </c>
    </row>
    <row r="575" spans="1:5">
      <c r="A575" s="34"/>
      <c r="B575" s="34"/>
      <c r="C575" s="34">
        <f t="shared" si="42"/>
        <v>569</v>
      </c>
      <c r="D575" s="35">
        <v>2.84</v>
      </c>
      <c r="E575" s="34">
        <f t="shared" si="41"/>
        <v>7384</v>
      </c>
    </row>
    <row r="576" spans="1:5">
      <c r="A576" s="34"/>
      <c r="B576" s="34"/>
      <c r="C576" s="34">
        <f t="shared" si="42"/>
        <v>570</v>
      </c>
      <c r="D576" s="34">
        <v>1308</v>
      </c>
      <c r="E576" s="34">
        <f t="shared" si="41"/>
        <v>7397</v>
      </c>
    </row>
    <row r="577" spans="1:5">
      <c r="A577" s="34"/>
      <c r="B577" s="34"/>
      <c r="C577" s="34">
        <f t="shared" si="42"/>
        <v>571</v>
      </c>
      <c r="D577" s="34">
        <v>1054</v>
      </c>
      <c r="E577" s="34">
        <f t="shared" si="41"/>
        <v>7410</v>
      </c>
    </row>
    <row r="578" spans="1:5">
      <c r="A578" s="34"/>
      <c r="B578" s="34"/>
      <c r="C578" s="34">
        <f t="shared" si="42"/>
        <v>572</v>
      </c>
      <c r="D578" s="34">
        <v>189</v>
      </c>
      <c r="E578" s="34">
        <f t="shared" si="41"/>
        <v>7423</v>
      </c>
    </row>
    <row r="579" spans="1:5">
      <c r="A579" s="34"/>
      <c r="B579" s="34"/>
      <c r="C579" s="34">
        <f t="shared" si="42"/>
        <v>573</v>
      </c>
      <c r="D579" s="35">
        <v>383</v>
      </c>
      <c r="E579" s="34">
        <f t="shared" si="41"/>
        <v>7436</v>
      </c>
    </row>
    <row r="580" spans="1:5">
      <c r="A580" s="34"/>
      <c r="B580" s="34"/>
      <c r="C580" s="34">
        <f t="shared" si="42"/>
        <v>574</v>
      </c>
      <c r="D580" s="35" t="s">
        <v>93</v>
      </c>
      <c r="E580" s="34">
        <f t="shared" si="41"/>
        <v>7449</v>
      </c>
    </row>
    <row r="581" spans="1:5">
      <c r="A581" s="34"/>
      <c r="B581" s="34"/>
      <c r="C581" s="34">
        <f t="shared" si="42"/>
        <v>575</v>
      </c>
      <c r="D581" s="34">
        <v>15</v>
      </c>
      <c r="E581" s="34">
        <f t="shared" si="41"/>
        <v>7462</v>
      </c>
    </row>
    <row r="582" spans="1:5">
      <c r="A582" s="34"/>
      <c r="B582" s="34"/>
      <c r="C582" s="34">
        <f t="shared" si="42"/>
        <v>576</v>
      </c>
      <c r="D582" s="34">
        <v>2.7</v>
      </c>
      <c r="E582" s="34">
        <f t="shared" si="41"/>
        <v>7475</v>
      </c>
    </row>
    <row r="583" spans="1:5">
      <c r="A583" s="34"/>
      <c r="B583" s="34"/>
      <c r="C583" s="34">
        <f t="shared" si="42"/>
        <v>577</v>
      </c>
      <c r="D583" s="34">
        <v>6916</v>
      </c>
      <c r="E583" s="34">
        <f t="shared" si="41"/>
        <v>7488</v>
      </c>
    </row>
    <row r="584" spans="1:5">
      <c r="A584" s="34"/>
      <c r="B584" s="34"/>
      <c r="C584" s="34">
        <f t="shared" si="42"/>
        <v>578</v>
      </c>
      <c r="D584" s="34">
        <v>9941</v>
      </c>
      <c r="E584" s="34">
        <f t="shared" si="41"/>
        <v>7501</v>
      </c>
    </row>
    <row r="585" spans="1:5">
      <c r="A585" s="34"/>
      <c r="B585" s="34"/>
      <c r="C585" s="34">
        <f t="shared" si="42"/>
        <v>579</v>
      </c>
      <c r="D585" s="35">
        <v>1.44</v>
      </c>
      <c r="E585" s="34">
        <f t="shared" ref="E585:E648" si="43">E584+13</f>
        <v>7514</v>
      </c>
    </row>
    <row r="586" spans="1:5">
      <c r="A586" s="34"/>
      <c r="B586" s="34"/>
      <c r="C586" s="34">
        <f t="shared" si="42"/>
        <v>580</v>
      </c>
      <c r="D586" s="34">
        <v>536</v>
      </c>
      <c r="E586" s="34">
        <f t="shared" si="43"/>
        <v>7527</v>
      </c>
    </row>
    <row r="587" spans="1:5">
      <c r="A587" s="34"/>
      <c r="B587" s="34"/>
      <c r="C587" s="34">
        <f t="shared" si="42"/>
        <v>581</v>
      </c>
      <c r="D587" s="34">
        <v>12181</v>
      </c>
      <c r="E587" s="34">
        <f t="shared" si="43"/>
        <v>7540</v>
      </c>
    </row>
    <row r="588" spans="1:5">
      <c r="A588" s="34"/>
      <c r="B588" s="34"/>
      <c r="C588" s="34">
        <f t="shared" si="42"/>
        <v>582</v>
      </c>
      <c r="D588" s="34">
        <v>1.76</v>
      </c>
      <c r="E588" s="34">
        <f t="shared" si="43"/>
        <v>7553</v>
      </c>
    </row>
    <row r="589" spans="1:5">
      <c r="A589" s="34"/>
      <c r="B589" s="34"/>
      <c r="C589" s="34">
        <f t="shared" si="42"/>
        <v>583</v>
      </c>
      <c r="D589" s="35">
        <v>812</v>
      </c>
      <c r="E589" s="34">
        <f t="shared" si="43"/>
        <v>7566</v>
      </c>
    </row>
    <row r="590" spans="1:5">
      <c r="A590" s="34"/>
      <c r="B590" s="34"/>
      <c r="C590" s="34">
        <f t="shared" si="42"/>
        <v>584</v>
      </c>
      <c r="D590" s="35">
        <v>657</v>
      </c>
      <c r="E590" s="34">
        <f t="shared" si="43"/>
        <v>7579</v>
      </c>
    </row>
    <row r="591" spans="1:5">
      <c r="A591" s="34"/>
      <c r="B591" s="34"/>
      <c r="C591" s="34">
        <f t="shared" si="42"/>
        <v>585</v>
      </c>
      <c r="D591" s="34">
        <v>117</v>
      </c>
      <c r="E591" s="34">
        <f t="shared" si="43"/>
        <v>7592</v>
      </c>
    </row>
    <row r="592" spans="1:5">
      <c r="A592" s="34"/>
      <c r="B592" s="34"/>
      <c r="C592" s="34">
        <f t="shared" si="42"/>
        <v>586</v>
      </c>
      <c r="D592" s="34">
        <v>384</v>
      </c>
      <c r="E592" s="34">
        <f t="shared" si="43"/>
        <v>7605</v>
      </c>
    </row>
    <row r="593" spans="1:5">
      <c r="A593" s="34"/>
      <c r="B593" s="34"/>
      <c r="C593" s="34">
        <f t="shared" si="42"/>
        <v>587</v>
      </c>
      <c r="D593" s="34" t="s">
        <v>93</v>
      </c>
      <c r="E593" s="34">
        <f t="shared" si="43"/>
        <v>7618</v>
      </c>
    </row>
    <row r="594" spans="1:5">
      <c r="A594" s="34"/>
      <c r="B594" s="34"/>
      <c r="C594" s="34">
        <f t="shared" si="42"/>
        <v>588</v>
      </c>
      <c r="D594" s="34">
        <v>20</v>
      </c>
      <c r="E594" s="34">
        <f t="shared" si="43"/>
        <v>7631</v>
      </c>
    </row>
    <row r="595" spans="1:5">
      <c r="A595" s="34"/>
      <c r="B595" s="34"/>
      <c r="C595" s="34">
        <f t="shared" si="42"/>
        <v>589</v>
      </c>
      <c r="D595" s="35">
        <v>2.9</v>
      </c>
      <c r="E595" s="34">
        <f t="shared" si="43"/>
        <v>7644</v>
      </c>
    </row>
    <row r="596" spans="1:5">
      <c r="A596" s="34"/>
      <c r="B596" s="34"/>
      <c r="C596" s="34">
        <f t="shared" si="42"/>
        <v>590</v>
      </c>
      <c r="D596" s="34">
        <v>6916</v>
      </c>
      <c r="E596" s="34">
        <f t="shared" si="43"/>
        <v>7657</v>
      </c>
    </row>
    <row r="597" spans="1:5">
      <c r="A597" s="34"/>
      <c r="B597" s="34"/>
      <c r="C597" s="34">
        <f t="shared" si="42"/>
        <v>591</v>
      </c>
      <c r="D597" s="34">
        <v>12787</v>
      </c>
      <c r="E597" s="34">
        <f t="shared" si="43"/>
        <v>7670</v>
      </c>
    </row>
    <row r="598" spans="1:5">
      <c r="A598" s="34"/>
      <c r="B598" s="34"/>
      <c r="C598" s="34">
        <f t="shared" si="42"/>
        <v>592</v>
      </c>
      <c r="D598" s="34">
        <v>1.85</v>
      </c>
      <c r="E598" s="34">
        <f t="shared" si="43"/>
        <v>7683</v>
      </c>
    </row>
    <row r="599" spans="1:5">
      <c r="A599" s="34"/>
      <c r="B599" s="34"/>
      <c r="C599" s="34">
        <f t="shared" si="42"/>
        <v>593</v>
      </c>
      <c r="D599" s="35">
        <v>641</v>
      </c>
      <c r="E599" s="34">
        <f t="shared" si="43"/>
        <v>7696</v>
      </c>
    </row>
    <row r="600" spans="1:5">
      <c r="A600" s="34"/>
      <c r="B600" s="34"/>
      <c r="C600" s="34">
        <f t="shared" si="42"/>
        <v>594</v>
      </c>
      <c r="D600" s="35">
        <v>14705</v>
      </c>
      <c r="E600" s="34">
        <f t="shared" si="43"/>
        <v>7709</v>
      </c>
    </row>
    <row r="601" spans="1:5">
      <c r="A601" s="34"/>
      <c r="B601" s="34"/>
      <c r="C601" s="34">
        <f t="shared" ref="C601:C664" si="44">C600+1</f>
        <v>595</v>
      </c>
      <c r="D601" s="34">
        <v>2.13</v>
      </c>
      <c r="E601" s="34">
        <f t="shared" si="43"/>
        <v>7722</v>
      </c>
    </row>
    <row r="602" spans="1:5">
      <c r="A602" s="34"/>
      <c r="B602" s="34"/>
      <c r="C602" s="34">
        <f t="shared" si="44"/>
        <v>596</v>
      </c>
      <c r="D602" s="34">
        <v>735</v>
      </c>
      <c r="E602" s="34">
        <f t="shared" si="43"/>
        <v>7735</v>
      </c>
    </row>
    <row r="603" spans="1:5">
      <c r="A603" s="34"/>
      <c r="B603" s="34"/>
      <c r="C603" s="34">
        <f t="shared" si="44"/>
        <v>597</v>
      </c>
      <c r="D603" s="34">
        <v>738</v>
      </c>
      <c r="E603" s="34">
        <f t="shared" si="43"/>
        <v>7748</v>
      </c>
    </row>
    <row r="604" spans="1:5">
      <c r="A604" s="34"/>
      <c r="B604" s="34"/>
      <c r="C604" s="34">
        <f t="shared" si="44"/>
        <v>598</v>
      </c>
      <c r="D604" s="34">
        <v>106</v>
      </c>
      <c r="E604" s="34">
        <f t="shared" si="43"/>
        <v>7761</v>
      </c>
    </row>
    <row r="605" spans="1:5">
      <c r="A605" s="34"/>
      <c r="B605" s="34"/>
      <c r="C605" s="34">
        <f t="shared" si="44"/>
        <v>599</v>
      </c>
      <c r="D605" s="35">
        <v>385</v>
      </c>
      <c r="E605" s="34">
        <f t="shared" si="43"/>
        <v>7774</v>
      </c>
    </row>
    <row r="606" spans="1:5">
      <c r="A606" s="34"/>
      <c r="B606" s="34"/>
      <c r="C606" s="34">
        <f t="shared" si="44"/>
        <v>600</v>
      </c>
      <c r="D606" s="34" t="s">
        <v>93</v>
      </c>
      <c r="E606" s="34">
        <f t="shared" si="43"/>
        <v>7787</v>
      </c>
    </row>
    <row r="607" spans="1:5">
      <c r="A607" s="34"/>
      <c r="B607" s="34"/>
      <c r="C607" s="34">
        <f t="shared" si="44"/>
        <v>601</v>
      </c>
      <c r="D607" s="34">
        <v>15</v>
      </c>
      <c r="E607" s="34">
        <f t="shared" si="43"/>
        <v>7800</v>
      </c>
    </row>
    <row r="608" spans="1:5">
      <c r="A608" s="34"/>
      <c r="B608" s="34"/>
      <c r="C608" s="34">
        <f t="shared" si="44"/>
        <v>602</v>
      </c>
      <c r="D608" s="34">
        <v>2.7</v>
      </c>
      <c r="E608" s="34">
        <f t="shared" si="43"/>
        <v>7813</v>
      </c>
    </row>
    <row r="609" spans="1:5">
      <c r="A609" s="34"/>
      <c r="B609" s="34"/>
      <c r="C609" s="34">
        <f t="shared" si="44"/>
        <v>603</v>
      </c>
      <c r="D609" s="35">
        <v>6916</v>
      </c>
      <c r="E609" s="34">
        <f t="shared" si="43"/>
        <v>7826</v>
      </c>
    </row>
    <row r="610" spans="1:5">
      <c r="A610" s="34"/>
      <c r="B610" s="34"/>
      <c r="C610" s="34">
        <f t="shared" si="44"/>
        <v>604</v>
      </c>
      <c r="D610" s="35">
        <v>10793</v>
      </c>
      <c r="E610" s="34">
        <f t="shared" si="43"/>
        <v>7839</v>
      </c>
    </row>
    <row r="611" spans="1:5">
      <c r="A611" s="34"/>
      <c r="B611" s="34"/>
      <c r="C611" s="34">
        <f t="shared" si="44"/>
        <v>605</v>
      </c>
      <c r="D611" s="34">
        <v>1.56</v>
      </c>
      <c r="E611" s="34">
        <f t="shared" si="43"/>
        <v>7852</v>
      </c>
    </row>
    <row r="612" spans="1:5">
      <c r="A612" s="34"/>
      <c r="B612" s="34"/>
      <c r="C612" s="34">
        <f t="shared" si="44"/>
        <v>606</v>
      </c>
      <c r="D612" s="34">
        <v>573</v>
      </c>
      <c r="E612" s="34">
        <f t="shared" si="43"/>
        <v>7865</v>
      </c>
    </row>
    <row r="613" spans="1:5">
      <c r="A613" s="34"/>
      <c r="B613" s="34"/>
      <c r="C613" s="34">
        <f t="shared" si="44"/>
        <v>607</v>
      </c>
      <c r="D613" s="34">
        <v>16511</v>
      </c>
      <c r="E613" s="34">
        <f t="shared" si="43"/>
        <v>7878</v>
      </c>
    </row>
    <row r="614" spans="1:5">
      <c r="A614" s="34"/>
      <c r="B614" s="34"/>
      <c r="C614" s="34">
        <f t="shared" si="44"/>
        <v>608</v>
      </c>
      <c r="D614" s="34">
        <v>2.39</v>
      </c>
      <c r="E614" s="34">
        <f t="shared" si="43"/>
        <v>7891</v>
      </c>
    </row>
    <row r="615" spans="1:5">
      <c r="A615" s="34"/>
      <c r="B615" s="34"/>
      <c r="C615" s="34">
        <f t="shared" si="44"/>
        <v>609</v>
      </c>
      <c r="D615" s="35">
        <v>1101</v>
      </c>
      <c r="E615" s="34">
        <f t="shared" si="43"/>
        <v>7904</v>
      </c>
    </row>
    <row r="616" spans="1:5">
      <c r="A616" s="34"/>
      <c r="B616" s="34"/>
      <c r="C616" s="34">
        <f t="shared" si="44"/>
        <v>610</v>
      </c>
      <c r="D616" s="34">
        <v>877</v>
      </c>
      <c r="E616" s="34">
        <f t="shared" si="43"/>
        <v>7917</v>
      </c>
    </row>
    <row r="617" spans="1:5">
      <c r="A617" s="34"/>
      <c r="B617" s="34"/>
      <c r="C617" s="34">
        <f t="shared" si="44"/>
        <v>611</v>
      </c>
      <c r="D617" s="34">
        <v>159</v>
      </c>
      <c r="E617" s="34">
        <f t="shared" si="43"/>
        <v>7930</v>
      </c>
    </row>
    <row r="618" spans="1:5">
      <c r="A618" s="34"/>
      <c r="B618" s="34"/>
      <c r="C618" s="34">
        <f t="shared" si="44"/>
        <v>612</v>
      </c>
      <c r="D618" s="34">
        <v>386</v>
      </c>
      <c r="E618" s="34">
        <f t="shared" si="43"/>
        <v>7943</v>
      </c>
    </row>
    <row r="619" spans="1:5">
      <c r="A619" s="34"/>
      <c r="B619" s="34"/>
      <c r="C619" s="34">
        <f t="shared" si="44"/>
        <v>613</v>
      </c>
      <c r="D619" s="34" t="s">
        <v>93</v>
      </c>
      <c r="E619" s="34">
        <f t="shared" si="43"/>
        <v>7956</v>
      </c>
    </row>
    <row r="620" spans="1:5">
      <c r="A620" s="34"/>
      <c r="B620" s="34"/>
      <c r="C620" s="34">
        <f t="shared" si="44"/>
        <v>614</v>
      </c>
      <c r="D620" s="34">
        <v>15</v>
      </c>
      <c r="E620" s="34">
        <f t="shared" si="43"/>
        <v>7969</v>
      </c>
    </row>
    <row r="621" spans="1:5">
      <c r="A621" s="34"/>
      <c r="B621" s="34"/>
      <c r="C621" s="34">
        <f t="shared" si="44"/>
        <v>615</v>
      </c>
      <c r="D621" s="34">
        <v>2.2000000000000002</v>
      </c>
      <c r="E621" s="34">
        <f t="shared" si="43"/>
        <v>7982</v>
      </c>
    </row>
    <row r="622" spans="1:5">
      <c r="A622" s="34"/>
      <c r="B622" s="34"/>
      <c r="C622" s="34">
        <f t="shared" si="44"/>
        <v>616</v>
      </c>
      <c r="D622" s="34">
        <v>6916</v>
      </c>
      <c r="E622" s="34">
        <f t="shared" si="43"/>
        <v>7995</v>
      </c>
    </row>
    <row r="623" spans="1:5">
      <c r="A623" s="34"/>
      <c r="B623" s="34"/>
      <c r="C623" s="34">
        <f t="shared" si="44"/>
        <v>617</v>
      </c>
      <c r="D623" s="34">
        <v>9573</v>
      </c>
      <c r="E623" s="34">
        <f t="shared" si="43"/>
        <v>8008</v>
      </c>
    </row>
    <row r="624" spans="1:5">
      <c r="A624" s="34"/>
      <c r="B624" s="34"/>
      <c r="C624" s="34">
        <f t="shared" si="44"/>
        <v>618</v>
      </c>
      <c r="D624" s="34">
        <v>1.38</v>
      </c>
      <c r="E624" s="34">
        <f t="shared" si="43"/>
        <v>8021</v>
      </c>
    </row>
    <row r="625" spans="1:5">
      <c r="A625" s="34"/>
      <c r="B625" s="34"/>
      <c r="C625" s="34">
        <f t="shared" si="44"/>
        <v>619</v>
      </c>
      <c r="D625" s="34">
        <v>620</v>
      </c>
      <c r="E625" s="34">
        <f t="shared" si="43"/>
        <v>8034</v>
      </c>
    </row>
    <row r="626" spans="1:5">
      <c r="A626" s="34"/>
      <c r="B626" s="34"/>
      <c r="C626" s="34">
        <f t="shared" si="44"/>
        <v>620</v>
      </c>
      <c r="D626" s="34">
        <v>10910</v>
      </c>
      <c r="E626" s="34">
        <f t="shared" si="43"/>
        <v>8047</v>
      </c>
    </row>
    <row r="627" spans="1:5">
      <c r="A627" s="34"/>
      <c r="B627" s="34"/>
      <c r="C627" s="34">
        <f t="shared" si="44"/>
        <v>621</v>
      </c>
      <c r="D627" s="34">
        <v>1.58</v>
      </c>
      <c r="E627" s="34">
        <f t="shared" si="43"/>
        <v>8060</v>
      </c>
    </row>
    <row r="628" spans="1:5">
      <c r="A628" s="34"/>
      <c r="B628" s="34"/>
      <c r="C628" s="34">
        <f t="shared" si="44"/>
        <v>622</v>
      </c>
      <c r="D628" s="34">
        <v>727</v>
      </c>
      <c r="E628" s="34">
        <f t="shared" si="43"/>
        <v>8073</v>
      </c>
    </row>
    <row r="629" spans="1:5">
      <c r="A629" s="34"/>
      <c r="B629" s="34"/>
      <c r="C629" s="34">
        <f t="shared" si="44"/>
        <v>623</v>
      </c>
      <c r="D629" s="34">
        <v>706</v>
      </c>
      <c r="E629" s="34">
        <f t="shared" si="43"/>
        <v>8086</v>
      </c>
    </row>
    <row r="630" spans="1:5">
      <c r="A630" s="34"/>
      <c r="B630" s="34"/>
      <c r="C630" s="34">
        <f t="shared" si="44"/>
        <v>624</v>
      </c>
      <c r="D630" s="34">
        <v>105</v>
      </c>
      <c r="E630" s="34">
        <f t="shared" si="43"/>
        <v>8099</v>
      </c>
    </row>
    <row r="631" spans="1:5">
      <c r="A631" s="34"/>
      <c r="B631" s="34"/>
      <c r="C631" s="34">
        <f t="shared" si="44"/>
        <v>625</v>
      </c>
      <c r="D631" s="34">
        <v>387</v>
      </c>
      <c r="E631" s="34">
        <f t="shared" si="43"/>
        <v>8112</v>
      </c>
    </row>
    <row r="632" spans="1:5">
      <c r="A632" s="34"/>
      <c r="B632" s="34"/>
      <c r="C632" s="34">
        <f t="shared" si="44"/>
        <v>626</v>
      </c>
      <c r="D632" s="34" t="s">
        <v>93</v>
      </c>
      <c r="E632" s="34">
        <f t="shared" si="43"/>
        <v>8125</v>
      </c>
    </row>
    <row r="633" spans="1:5">
      <c r="A633" s="34"/>
      <c r="B633" s="34"/>
      <c r="C633" s="34">
        <f t="shared" si="44"/>
        <v>627</v>
      </c>
      <c r="D633" s="34">
        <v>15</v>
      </c>
      <c r="E633" s="34">
        <f t="shared" si="43"/>
        <v>8138</v>
      </c>
    </row>
    <row r="634" spans="1:5">
      <c r="A634" s="34"/>
      <c r="B634" s="34"/>
      <c r="C634" s="34">
        <f t="shared" si="44"/>
        <v>628</v>
      </c>
      <c r="D634" s="34">
        <v>2.4</v>
      </c>
      <c r="E634" s="34">
        <f t="shared" si="43"/>
        <v>8151</v>
      </c>
    </row>
    <row r="635" spans="1:5">
      <c r="A635" s="34"/>
      <c r="B635" s="34"/>
      <c r="C635" s="34">
        <f t="shared" si="44"/>
        <v>629</v>
      </c>
      <c r="D635" s="34">
        <v>6916</v>
      </c>
      <c r="E635" s="34">
        <f t="shared" si="43"/>
        <v>8164</v>
      </c>
    </row>
    <row r="636" spans="1:5">
      <c r="A636" s="34"/>
      <c r="B636" s="34"/>
      <c r="C636" s="34">
        <f t="shared" si="44"/>
        <v>630</v>
      </c>
      <c r="D636" s="34">
        <v>9310</v>
      </c>
      <c r="E636" s="34">
        <f t="shared" si="43"/>
        <v>8177</v>
      </c>
    </row>
    <row r="637" spans="1:5">
      <c r="A637" s="34"/>
      <c r="B637" s="34"/>
      <c r="C637" s="34">
        <f t="shared" si="44"/>
        <v>631</v>
      </c>
      <c r="D637" s="34">
        <v>1.35</v>
      </c>
      <c r="E637" s="34">
        <f t="shared" si="43"/>
        <v>8190</v>
      </c>
    </row>
    <row r="638" spans="1:5">
      <c r="A638" s="34"/>
      <c r="B638" s="34"/>
      <c r="C638" s="34">
        <f t="shared" si="44"/>
        <v>632</v>
      </c>
      <c r="D638" s="34">
        <v>568</v>
      </c>
      <c r="E638" s="34">
        <f t="shared" si="43"/>
        <v>8203</v>
      </c>
    </row>
    <row r="639" spans="1:5">
      <c r="A639" s="34"/>
      <c r="B639" s="34"/>
      <c r="C639" s="34">
        <f t="shared" si="44"/>
        <v>633</v>
      </c>
      <c r="D639" s="34">
        <v>12671</v>
      </c>
      <c r="E639" s="34">
        <f t="shared" si="43"/>
        <v>8216</v>
      </c>
    </row>
    <row r="640" spans="1:5">
      <c r="A640" s="34"/>
      <c r="B640" s="34"/>
      <c r="C640" s="34">
        <f t="shared" si="44"/>
        <v>634</v>
      </c>
      <c r="D640" s="34">
        <v>1.83</v>
      </c>
      <c r="E640" s="34">
        <f t="shared" si="43"/>
        <v>8229</v>
      </c>
    </row>
    <row r="641" spans="1:5">
      <c r="A641" s="34"/>
      <c r="B641" s="34"/>
      <c r="C641" s="34">
        <f t="shared" si="44"/>
        <v>635</v>
      </c>
      <c r="D641" s="34">
        <v>845</v>
      </c>
      <c r="E641" s="34">
        <f t="shared" si="43"/>
        <v>8242</v>
      </c>
    </row>
    <row r="642" spans="1:5">
      <c r="A642" s="34"/>
      <c r="B642" s="34"/>
      <c r="C642" s="34">
        <f t="shared" si="44"/>
        <v>636</v>
      </c>
      <c r="D642" s="34">
        <v>774</v>
      </c>
      <c r="E642" s="34">
        <f t="shared" si="43"/>
        <v>8255</v>
      </c>
    </row>
    <row r="643" spans="1:5">
      <c r="A643" s="34"/>
      <c r="B643" s="34"/>
      <c r="C643" s="34">
        <f t="shared" si="44"/>
        <v>637</v>
      </c>
      <c r="D643" s="34">
        <v>122</v>
      </c>
      <c r="E643" s="34">
        <f t="shared" si="43"/>
        <v>8268</v>
      </c>
    </row>
    <row r="644" spans="1:5">
      <c r="A644" s="34"/>
      <c r="B644" s="34"/>
      <c r="C644" s="34">
        <f t="shared" si="44"/>
        <v>638</v>
      </c>
      <c r="D644" s="34">
        <v>388</v>
      </c>
      <c r="E644" s="34">
        <f t="shared" si="43"/>
        <v>8281</v>
      </c>
    </row>
    <row r="645" spans="1:5">
      <c r="A645" s="34"/>
      <c r="B645" s="34"/>
      <c r="C645" s="34">
        <f t="shared" si="44"/>
        <v>639</v>
      </c>
      <c r="D645" s="34" t="s">
        <v>93</v>
      </c>
      <c r="E645" s="34">
        <f t="shared" si="43"/>
        <v>8294</v>
      </c>
    </row>
    <row r="646" spans="1:5">
      <c r="A646" s="34"/>
      <c r="B646" s="34"/>
      <c r="C646" s="34">
        <f t="shared" si="44"/>
        <v>640</v>
      </c>
      <c r="D646" s="34">
        <v>15</v>
      </c>
      <c r="E646" s="34">
        <f t="shared" si="43"/>
        <v>8307</v>
      </c>
    </row>
    <row r="647" spans="1:5">
      <c r="A647" s="34"/>
      <c r="B647" s="34"/>
      <c r="C647" s="34">
        <f t="shared" si="44"/>
        <v>641</v>
      </c>
      <c r="D647" s="34">
        <v>2.4</v>
      </c>
      <c r="E647" s="34">
        <f t="shared" si="43"/>
        <v>8320</v>
      </c>
    </row>
    <row r="648" spans="1:5">
      <c r="A648" s="34"/>
      <c r="B648" s="34"/>
      <c r="C648" s="34">
        <f t="shared" si="44"/>
        <v>642</v>
      </c>
      <c r="D648" s="34">
        <v>6916</v>
      </c>
      <c r="E648" s="34">
        <f t="shared" si="43"/>
        <v>8333</v>
      </c>
    </row>
    <row r="649" spans="1:5">
      <c r="A649" s="34"/>
      <c r="B649" s="34"/>
      <c r="C649" s="34">
        <f t="shared" si="44"/>
        <v>643</v>
      </c>
      <c r="D649" s="34">
        <v>10948</v>
      </c>
      <c r="E649" s="34">
        <f t="shared" ref="E649:E712" si="45">E648+13</f>
        <v>8346</v>
      </c>
    </row>
    <row r="650" spans="1:5">
      <c r="A650" s="34"/>
      <c r="B650" s="34"/>
      <c r="C650" s="34">
        <f t="shared" si="44"/>
        <v>644</v>
      </c>
      <c r="D650" s="34">
        <v>1.58</v>
      </c>
      <c r="E650" s="34">
        <f t="shared" si="45"/>
        <v>8359</v>
      </c>
    </row>
    <row r="651" spans="1:5">
      <c r="A651" s="34"/>
      <c r="B651" s="34"/>
      <c r="C651" s="34">
        <f t="shared" si="44"/>
        <v>645</v>
      </c>
      <c r="D651" s="34">
        <v>651</v>
      </c>
      <c r="E651" s="34">
        <f t="shared" si="45"/>
        <v>8372</v>
      </c>
    </row>
    <row r="652" spans="1:5">
      <c r="A652" s="34"/>
      <c r="B652" s="34"/>
      <c r="C652" s="34">
        <f t="shared" si="44"/>
        <v>646</v>
      </c>
      <c r="D652" s="34">
        <v>11279</v>
      </c>
      <c r="E652" s="34">
        <f t="shared" si="45"/>
        <v>8385</v>
      </c>
    </row>
    <row r="653" spans="1:5">
      <c r="A653" s="34"/>
      <c r="B653" s="34"/>
      <c r="C653" s="34">
        <f t="shared" si="44"/>
        <v>647</v>
      </c>
      <c r="D653" s="34">
        <v>1.63</v>
      </c>
      <c r="E653" s="34">
        <f t="shared" si="45"/>
        <v>8398</v>
      </c>
    </row>
    <row r="654" spans="1:5">
      <c r="A654" s="34"/>
      <c r="B654" s="34"/>
      <c r="C654" s="34">
        <f t="shared" si="44"/>
        <v>648</v>
      </c>
      <c r="D654" s="34">
        <v>752</v>
      </c>
      <c r="E654" s="34">
        <f t="shared" si="45"/>
        <v>8411</v>
      </c>
    </row>
    <row r="655" spans="1:5">
      <c r="A655" s="34"/>
      <c r="B655" s="34"/>
      <c r="C655" s="34">
        <f t="shared" si="44"/>
        <v>649</v>
      </c>
      <c r="D655" s="34">
        <v>670</v>
      </c>
      <c r="E655" s="34">
        <f t="shared" si="45"/>
        <v>8424</v>
      </c>
    </row>
    <row r="656" spans="1:5">
      <c r="A656" s="34"/>
      <c r="B656" s="34"/>
      <c r="C656" s="34">
        <f t="shared" si="44"/>
        <v>650</v>
      </c>
      <c r="D656" s="34">
        <v>109</v>
      </c>
      <c r="E656" s="34">
        <f t="shared" si="45"/>
        <v>8437</v>
      </c>
    </row>
    <row r="657" spans="1:5">
      <c r="A657" s="34"/>
      <c r="B657" s="34"/>
      <c r="C657" s="34">
        <f t="shared" si="44"/>
        <v>651</v>
      </c>
      <c r="D657" s="34">
        <v>389</v>
      </c>
      <c r="E657" s="34">
        <f t="shared" si="45"/>
        <v>8450</v>
      </c>
    </row>
    <row r="658" spans="1:5">
      <c r="A658" s="34"/>
      <c r="B658" s="34"/>
      <c r="C658" s="34">
        <f t="shared" si="44"/>
        <v>652</v>
      </c>
      <c r="D658" s="34" t="s">
        <v>93</v>
      </c>
      <c r="E658" s="34">
        <f t="shared" si="45"/>
        <v>8463</v>
      </c>
    </row>
    <row r="659" spans="1:5">
      <c r="A659" s="34"/>
      <c r="B659" s="34"/>
      <c r="C659" s="34">
        <f t="shared" si="44"/>
        <v>653</v>
      </c>
      <c r="D659" s="34">
        <v>15</v>
      </c>
      <c r="E659" s="34">
        <f t="shared" si="45"/>
        <v>8476</v>
      </c>
    </row>
    <row r="660" spans="1:5">
      <c r="A660" s="34"/>
      <c r="B660" s="34"/>
      <c r="C660" s="34">
        <f t="shared" si="44"/>
        <v>654</v>
      </c>
      <c r="D660" s="34">
        <v>2.5</v>
      </c>
      <c r="E660" s="34">
        <f t="shared" si="45"/>
        <v>8489</v>
      </c>
    </row>
    <row r="661" spans="1:5">
      <c r="A661" s="34"/>
      <c r="B661" s="34"/>
      <c r="C661" s="34">
        <f t="shared" si="44"/>
        <v>655</v>
      </c>
      <c r="D661" s="34">
        <v>6916</v>
      </c>
      <c r="E661" s="34">
        <f t="shared" si="45"/>
        <v>8502</v>
      </c>
    </row>
    <row r="662" spans="1:5">
      <c r="A662" s="34"/>
      <c r="B662" s="34"/>
      <c r="C662" s="34">
        <f t="shared" si="44"/>
        <v>656</v>
      </c>
      <c r="D662" s="34">
        <v>8645</v>
      </c>
      <c r="E662" s="34">
        <f t="shared" si="45"/>
        <v>8515</v>
      </c>
    </row>
    <row r="663" spans="1:5">
      <c r="A663" s="34"/>
      <c r="B663" s="34"/>
      <c r="C663" s="34">
        <f t="shared" si="44"/>
        <v>657</v>
      </c>
      <c r="D663" s="34">
        <v>1.25</v>
      </c>
      <c r="E663" s="34">
        <f t="shared" si="45"/>
        <v>8528</v>
      </c>
    </row>
    <row r="664" spans="1:5">
      <c r="A664" s="34"/>
      <c r="B664" s="34"/>
      <c r="C664" s="34">
        <f t="shared" si="44"/>
        <v>658</v>
      </c>
      <c r="D664" s="34">
        <v>501</v>
      </c>
      <c r="E664" s="34">
        <f t="shared" si="45"/>
        <v>8541</v>
      </c>
    </row>
    <row r="665" spans="1:5">
      <c r="A665" s="34"/>
      <c r="B665" s="34"/>
      <c r="C665" s="34">
        <f t="shared" ref="C665:C728" si="46">C664+1</f>
        <v>659</v>
      </c>
      <c r="D665" s="34">
        <v>18732</v>
      </c>
      <c r="E665" s="34">
        <f t="shared" si="45"/>
        <v>8554</v>
      </c>
    </row>
    <row r="666" spans="1:5">
      <c r="A666" s="34"/>
      <c r="B666" s="34"/>
      <c r="C666" s="34">
        <f t="shared" si="46"/>
        <v>660</v>
      </c>
      <c r="D666" s="34">
        <v>2.71</v>
      </c>
      <c r="E666" s="34">
        <f t="shared" si="45"/>
        <v>8567</v>
      </c>
    </row>
    <row r="667" spans="1:5">
      <c r="A667" s="34"/>
      <c r="B667" s="34"/>
      <c r="C667" s="34">
        <f t="shared" si="46"/>
        <v>661</v>
      </c>
      <c r="D667" s="34">
        <v>1249</v>
      </c>
      <c r="E667" s="34">
        <f t="shared" si="45"/>
        <v>8580</v>
      </c>
    </row>
    <row r="668" spans="1:5">
      <c r="A668" s="34"/>
      <c r="B668" s="34"/>
      <c r="C668" s="34">
        <f t="shared" si="46"/>
        <v>662</v>
      </c>
      <c r="D668" s="34">
        <v>1086</v>
      </c>
      <c r="E668" s="34">
        <f t="shared" si="45"/>
        <v>8593</v>
      </c>
    </row>
    <row r="669" spans="1:5">
      <c r="A669" s="34"/>
      <c r="B669" s="34"/>
      <c r="C669" s="34">
        <f t="shared" si="46"/>
        <v>663</v>
      </c>
      <c r="D669" s="34">
        <v>181</v>
      </c>
      <c r="E669" s="34">
        <f t="shared" si="45"/>
        <v>8606</v>
      </c>
    </row>
    <row r="670" spans="1:5">
      <c r="A670" s="34"/>
      <c r="B670" s="34"/>
      <c r="C670" s="34">
        <f t="shared" si="46"/>
        <v>664</v>
      </c>
      <c r="D670" s="34">
        <v>407</v>
      </c>
      <c r="E670" s="34">
        <f t="shared" si="45"/>
        <v>8619</v>
      </c>
    </row>
    <row r="671" spans="1:5">
      <c r="A671" s="34"/>
      <c r="B671" s="34"/>
      <c r="C671" s="34">
        <f t="shared" si="46"/>
        <v>665</v>
      </c>
      <c r="D671" s="34" t="s">
        <v>92</v>
      </c>
      <c r="E671" s="34">
        <f t="shared" si="45"/>
        <v>8632</v>
      </c>
    </row>
    <row r="672" spans="1:5">
      <c r="A672" s="34"/>
      <c r="B672" s="34"/>
      <c r="C672" s="34">
        <f t="shared" si="46"/>
        <v>666</v>
      </c>
      <c r="D672" s="34">
        <v>7.5</v>
      </c>
      <c r="E672" s="34">
        <f t="shared" si="45"/>
        <v>8645</v>
      </c>
    </row>
    <row r="673" spans="1:5">
      <c r="A673" s="34"/>
      <c r="B673" s="34"/>
      <c r="C673" s="34">
        <f t="shared" si="46"/>
        <v>667</v>
      </c>
      <c r="D673" s="34">
        <v>1.4</v>
      </c>
      <c r="E673" s="34">
        <f t="shared" si="45"/>
        <v>8658</v>
      </c>
    </row>
    <row r="674" spans="1:5">
      <c r="A674" s="34"/>
      <c r="B674" s="34"/>
      <c r="C674" s="34">
        <f t="shared" si="46"/>
        <v>668</v>
      </c>
      <c r="D674" s="34">
        <v>8736</v>
      </c>
      <c r="E674" s="34">
        <f t="shared" si="45"/>
        <v>8671</v>
      </c>
    </row>
    <row r="675" spans="1:5">
      <c r="A675" s="34"/>
      <c r="B675" s="34"/>
      <c r="C675" s="34">
        <f t="shared" si="46"/>
        <v>669</v>
      </c>
      <c r="D675" s="34">
        <v>3918</v>
      </c>
      <c r="E675" s="34">
        <f t="shared" si="45"/>
        <v>8684</v>
      </c>
    </row>
    <row r="676" spans="1:5">
      <c r="A676" s="34"/>
      <c r="B676" s="34"/>
      <c r="C676" s="34">
        <f t="shared" si="46"/>
        <v>670</v>
      </c>
      <c r="D676" s="34">
        <v>0.45</v>
      </c>
      <c r="E676" s="34">
        <f t="shared" si="45"/>
        <v>8697</v>
      </c>
    </row>
    <row r="677" spans="1:5">
      <c r="A677" s="34"/>
      <c r="B677" s="34"/>
      <c r="C677" s="34">
        <f t="shared" si="46"/>
        <v>671</v>
      </c>
      <c r="D677" s="34">
        <v>324</v>
      </c>
      <c r="E677" s="34">
        <f t="shared" si="45"/>
        <v>8710</v>
      </c>
    </row>
    <row r="678" spans="1:5">
      <c r="A678" s="34"/>
      <c r="B678" s="34"/>
      <c r="C678" s="34">
        <f t="shared" si="46"/>
        <v>672</v>
      </c>
      <c r="D678" s="34">
        <v>9853</v>
      </c>
      <c r="E678" s="34">
        <f t="shared" si="45"/>
        <v>8723</v>
      </c>
    </row>
    <row r="679" spans="1:5">
      <c r="A679" s="34"/>
      <c r="B679" s="34"/>
      <c r="C679" s="34">
        <f t="shared" si="46"/>
        <v>673</v>
      </c>
      <c r="D679" s="34">
        <v>1.1299999999999999</v>
      </c>
      <c r="E679" s="34">
        <f t="shared" si="45"/>
        <v>8736</v>
      </c>
    </row>
    <row r="680" spans="1:5">
      <c r="A680" s="34"/>
      <c r="B680" s="34"/>
      <c r="C680" s="34">
        <f t="shared" si="46"/>
        <v>674</v>
      </c>
      <c r="D680" s="34">
        <v>1314</v>
      </c>
      <c r="E680" s="34">
        <f t="shared" si="45"/>
        <v>8749</v>
      </c>
    </row>
    <row r="681" spans="1:5">
      <c r="A681" s="34"/>
      <c r="B681" s="34"/>
      <c r="C681" s="34">
        <f t="shared" si="46"/>
        <v>675</v>
      </c>
      <c r="D681" s="34">
        <v>815</v>
      </c>
      <c r="E681" s="34">
        <f t="shared" si="45"/>
        <v>8762</v>
      </c>
    </row>
    <row r="682" spans="1:5">
      <c r="A682" s="34"/>
      <c r="B682" s="34"/>
      <c r="C682" s="34">
        <f t="shared" si="46"/>
        <v>676</v>
      </c>
      <c r="D682" s="34">
        <v>150</v>
      </c>
      <c r="E682" s="34">
        <f t="shared" si="45"/>
        <v>8775</v>
      </c>
    </row>
    <row r="683" spans="1:5">
      <c r="A683" s="34"/>
      <c r="B683" s="34"/>
      <c r="C683" s="34">
        <f t="shared" si="46"/>
        <v>677</v>
      </c>
      <c r="D683" s="34">
        <v>408</v>
      </c>
      <c r="E683" s="34">
        <f t="shared" si="45"/>
        <v>8788</v>
      </c>
    </row>
    <row r="684" spans="1:5">
      <c r="A684" s="34"/>
      <c r="B684" s="34"/>
      <c r="C684" s="34">
        <f t="shared" si="46"/>
        <v>678</v>
      </c>
      <c r="D684" s="34" t="s">
        <v>92</v>
      </c>
      <c r="E684" s="34">
        <f t="shared" si="45"/>
        <v>8801</v>
      </c>
    </row>
    <row r="685" spans="1:5">
      <c r="A685" s="34"/>
      <c r="B685" s="34"/>
      <c r="C685" s="34">
        <f t="shared" si="46"/>
        <v>679</v>
      </c>
      <c r="D685" s="34">
        <v>10</v>
      </c>
      <c r="E685" s="34">
        <f t="shared" si="45"/>
        <v>8814</v>
      </c>
    </row>
    <row r="686" spans="1:5">
      <c r="A686" s="34"/>
      <c r="B686" s="34"/>
      <c r="C686" s="34">
        <f t="shared" si="46"/>
        <v>680</v>
      </c>
      <c r="D686" s="34">
        <v>1.9</v>
      </c>
      <c r="E686" s="34">
        <f t="shared" si="45"/>
        <v>8827</v>
      </c>
    </row>
    <row r="687" spans="1:5">
      <c r="A687" s="34"/>
      <c r="B687" s="34"/>
      <c r="C687" s="34">
        <f t="shared" si="46"/>
        <v>681</v>
      </c>
      <c r="D687" s="34">
        <v>8736</v>
      </c>
      <c r="E687" s="34">
        <f t="shared" si="45"/>
        <v>8840</v>
      </c>
    </row>
    <row r="688" spans="1:5">
      <c r="A688" s="34"/>
      <c r="B688" s="34"/>
      <c r="C688" s="34">
        <f t="shared" si="46"/>
        <v>682</v>
      </c>
      <c r="D688" s="34">
        <v>9575</v>
      </c>
      <c r="E688" s="34">
        <f t="shared" si="45"/>
        <v>8853</v>
      </c>
    </row>
    <row r="689" spans="1:5">
      <c r="A689" s="34"/>
      <c r="B689" s="34"/>
      <c r="C689" s="34">
        <f t="shared" si="46"/>
        <v>683</v>
      </c>
      <c r="D689" s="34">
        <v>1.1000000000000001</v>
      </c>
      <c r="E689" s="34">
        <f t="shared" si="45"/>
        <v>8866</v>
      </c>
    </row>
    <row r="690" spans="1:5">
      <c r="A690" s="34"/>
      <c r="B690" s="34"/>
      <c r="C690" s="34">
        <f t="shared" si="46"/>
        <v>684</v>
      </c>
      <c r="D690" s="34">
        <v>580</v>
      </c>
      <c r="E690" s="34">
        <f t="shared" si="45"/>
        <v>8879</v>
      </c>
    </row>
    <row r="691" spans="1:5">
      <c r="A691" s="34"/>
      <c r="B691" s="34"/>
      <c r="C691" s="34">
        <f t="shared" si="46"/>
        <v>685</v>
      </c>
      <c r="D691" s="34">
        <v>9441</v>
      </c>
      <c r="E691" s="34">
        <f t="shared" si="45"/>
        <v>8892</v>
      </c>
    </row>
    <row r="692" spans="1:5">
      <c r="A692" s="34"/>
      <c r="B692" s="34"/>
      <c r="C692" s="34">
        <f t="shared" si="46"/>
        <v>686</v>
      </c>
      <c r="D692" s="34">
        <v>1.08</v>
      </c>
      <c r="E692" s="34">
        <f t="shared" si="45"/>
        <v>8905</v>
      </c>
    </row>
    <row r="693" spans="1:5">
      <c r="A693" s="34"/>
      <c r="B693" s="34"/>
      <c r="C693" s="34">
        <f t="shared" si="46"/>
        <v>687</v>
      </c>
      <c r="D693" s="34">
        <v>944</v>
      </c>
      <c r="E693" s="34">
        <f t="shared" si="45"/>
        <v>8918</v>
      </c>
    </row>
    <row r="694" spans="1:5">
      <c r="A694" s="34"/>
      <c r="B694" s="34"/>
      <c r="C694" s="34">
        <f t="shared" si="46"/>
        <v>688</v>
      </c>
      <c r="D694" s="34">
        <v>572</v>
      </c>
      <c r="E694" s="34">
        <f t="shared" si="45"/>
        <v>8931</v>
      </c>
    </row>
    <row r="695" spans="1:5">
      <c r="A695" s="34"/>
      <c r="B695" s="34"/>
      <c r="C695" s="34">
        <f t="shared" si="46"/>
        <v>689</v>
      </c>
      <c r="D695" s="34">
        <v>108</v>
      </c>
      <c r="E695" s="34">
        <f t="shared" si="45"/>
        <v>8944</v>
      </c>
    </row>
    <row r="696" spans="1:5">
      <c r="A696" s="34"/>
      <c r="B696" s="34"/>
      <c r="C696" s="34">
        <f t="shared" si="46"/>
        <v>690</v>
      </c>
      <c r="D696" s="34">
        <v>409</v>
      </c>
      <c r="E696" s="34">
        <f t="shared" si="45"/>
        <v>8957</v>
      </c>
    </row>
    <row r="697" spans="1:5">
      <c r="A697" s="34"/>
      <c r="B697" s="34"/>
      <c r="C697" s="34">
        <f t="shared" si="46"/>
        <v>691</v>
      </c>
      <c r="D697" s="34" t="s">
        <v>92</v>
      </c>
      <c r="E697" s="34">
        <f t="shared" si="45"/>
        <v>8970</v>
      </c>
    </row>
    <row r="698" spans="1:5">
      <c r="A698" s="34"/>
      <c r="B698" s="34"/>
      <c r="C698" s="34">
        <f t="shared" si="46"/>
        <v>692</v>
      </c>
      <c r="D698" s="34">
        <v>15</v>
      </c>
      <c r="E698" s="34">
        <f t="shared" si="45"/>
        <v>8983</v>
      </c>
    </row>
    <row r="699" spans="1:5">
      <c r="A699" s="34"/>
      <c r="B699" s="34"/>
      <c r="C699" s="34">
        <f t="shared" si="46"/>
        <v>693</v>
      </c>
      <c r="D699" s="34">
        <v>3.4</v>
      </c>
      <c r="E699" s="34">
        <f t="shared" si="45"/>
        <v>8996</v>
      </c>
    </row>
    <row r="700" spans="1:5">
      <c r="A700" s="34"/>
      <c r="B700" s="34"/>
      <c r="C700" s="34">
        <f t="shared" si="46"/>
        <v>694</v>
      </c>
      <c r="D700" s="34">
        <v>8736</v>
      </c>
      <c r="E700" s="34">
        <f t="shared" si="45"/>
        <v>9009</v>
      </c>
    </row>
    <row r="701" spans="1:5">
      <c r="A701" s="34"/>
      <c r="B701" s="34"/>
      <c r="C701" s="34">
        <f t="shared" si="46"/>
        <v>695</v>
      </c>
      <c r="D701" s="34">
        <v>5949</v>
      </c>
      <c r="E701" s="34">
        <f t="shared" si="45"/>
        <v>9022</v>
      </c>
    </row>
    <row r="702" spans="1:5">
      <c r="A702" s="34"/>
      <c r="B702" s="34"/>
      <c r="C702" s="34">
        <f t="shared" si="46"/>
        <v>696</v>
      </c>
      <c r="D702" s="34">
        <v>0.68</v>
      </c>
      <c r="E702" s="34">
        <f t="shared" si="45"/>
        <v>9035</v>
      </c>
    </row>
    <row r="703" spans="1:5">
      <c r="A703" s="34"/>
      <c r="B703" s="34"/>
      <c r="C703" s="34">
        <f t="shared" si="46"/>
        <v>697</v>
      </c>
      <c r="D703" s="34">
        <v>201</v>
      </c>
      <c r="E703" s="34">
        <f t="shared" si="45"/>
        <v>9048</v>
      </c>
    </row>
    <row r="704" spans="1:5">
      <c r="A704" s="34"/>
      <c r="B704" s="34"/>
      <c r="C704" s="34">
        <f t="shared" si="46"/>
        <v>698</v>
      </c>
      <c r="D704" s="34">
        <v>6465</v>
      </c>
      <c r="E704" s="34">
        <f t="shared" si="45"/>
        <v>9061</v>
      </c>
    </row>
    <row r="705" spans="1:5">
      <c r="A705" s="34"/>
      <c r="B705" s="34"/>
      <c r="C705" s="34">
        <f t="shared" si="46"/>
        <v>699</v>
      </c>
      <c r="D705" s="34">
        <v>0.74</v>
      </c>
      <c r="E705" s="34">
        <f t="shared" si="45"/>
        <v>9074</v>
      </c>
    </row>
    <row r="706" spans="1:5">
      <c r="A706" s="34"/>
      <c r="B706" s="34"/>
      <c r="C706" s="34">
        <f t="shared" si="46"/>
        <v>700</v>
      </c>
      <c r="D706" s="34">
        <v>431</v>
      </c>
      <c r="E706" s="34">
        <f t="shared" si="45"/>
        <v>9087</v>
      </c>
    </row>
    <row r="707" spans="1:5">
      <c r="A707" s="34"/>
      <c r="B707" s="34"/>
      <c r="C707" s="34">
        <f t="shared" si="46"/>
        <v>701</v>
      </c>
      <c r="D707" s="34">
        <v>218</v>
      </c>
      <c r="E707" s="34">
        <f t="shared" si="45"/>
        <v>9100</v>
      </c>
    </row>
    <row r="708" spans="1:5">
      <c r="A708" s="34"/>
      <c r="B708" s="34"/>
      <c r="C708" s="34">
        <f t="shared" si="46"/>
        <v>702</v>
      </c>
      <c r="D708" s="34">
        <v>49</v>
      </c>
      <c r="E708" s="34">
        <f t="shared" si="45"/>
        <v>9113</v>
      </c>
    </row>
    <row r="709" spans="1:5">
      <c r="A709" s="34"/>
      <c r="B709" s="34"/>
      <c r="C709" s="34">
        <f t="shared" si="46"/>
        <v>703</v>
      </c>
      <c r="D709" s="34">
        <v>410</v>
      </c>
      <c r="E709" s="34">
        <f t="shared" si="45"/>
        <v>9126</v>
      </c>
    </row>
    <row r="710" spans="1:5">
      <c r="A710" s="34"/>
      <c r="B710" s="34"/>
      <c r="C710" s="34">
        <f t="shared" si="46"/>
        <v>704</v>
      </c>
      <c r="D710" s="34" t="s">
        <v>92</v>
      </c>
      <c r="E710" s="34">
        <f t="shared" si="45"/>
        <v>9139</v>
      </c>
    </row>
    <row r="711" spans="1:5">
      <c r="A711" s="34"/>
      <c r="B711" s="34"/>
      <c r="C711" s="34">
        <f t="shared" si="46"/>
        <v>705</v>
      </c>
      <c r="D711" s="34">
        <v>25</v>
      </c>
      <c r="E711" s="34">
        <f t="shared" si="45"/>
        <v>9152</v>
      </c>
    </row>
    <row r="712" spans="1:5">
      <c r="A712" s="34"/>
      <c r="B712" s="34"/>
      <c r="C712" s="34">
        <f t="shared" si="46"/>
        <v>706</v>
      </c>
      <c r="D712" s="34">
        <v>4</v>
      </c>
      <c r="E712" s="34">
        <f t="shared" si="45"/>
        <v>9165</v>
      </c>
    </row>
    <row r="713" spans="1:5">
      <c r="A713" s="34"/>
      <c r="B713" s="34"/>
      <c r="C713" s="34">
        <f t="shared" si="46"/>
        <v>707</v>
      </c>
      <c r="D713" s="34">
        <v>8736</v>
      </c>
      <c r="E713" s="34">
        <f t="shared" ref="E713:E738" si="47">E712+13</f>
        <v>9178</v>
      </c>
    </row>
    <row r="714" spans="1:5">
      <c r="A714" s="34"/>
      <c r="B714" s="34"/>
      <c r="C714" s="34">
        <f t="shared" si="46"/>
        <v>708</v>
      </c>
      <c r="D714" s="34">
        <v>32432</v>
      </c>
      <c r="E714" s="34">
        <f t="shared" si="47"/>
        <v>9191</v>
      </c>
    </row>
    <row r="715" spans="1:5">
      <c r="A715" s="34"/>
      <c r="B715" s="34"/>
      <c r="C715" s="34">
        <f t="shared" si="46"/>
        <v>709</v>
      </c>
      <c r="D715" s="34">
        <v>3.71</v>
      </c>
      <c r="E715" s="34">
        <f t="shared" si="47"/>
        <v>9204</v>
      </c>
    </row>
    <row r="716" spans="1:5">
      <c r="A716" s="34"/>
      <c r="B716" s="34"/>
      <c r="C716" s="34">
        <f t="shared" si="46"/>
        <v>710</v>
      </c>
      <c r="D716" s="34">
        <v>929</v>
      </c>
      <c r="E716" s="34">
        <f t="shared" si="47"/>
        <v>9217</v>
      </c>
    </row>
    <row r="717" spans="1:5">
      <c r="A717" s="34"/>
      <c r="B717" s="34"/>
      <c r="C717" s="34">
        <f t="shared" si="46"/>
        <v>711</v>
      </c>
      <c r="D717" s="34">
        <v>30264</v>
      </c>
      <c r="E717" s="34">
        <f t="shared" si="47"/>
        <v>9230</v>
      </c>
    </row>
    <row r="718" spans="1:5">
      <c r="A718" s="34"/>
      <c r="B718" s="34"/>
      <c r="C718" s="34">
        <f t="shared" si="46"/>
        <v>712</v>
      </c>
      <c r="D718" s="34">
        <v>3.46</v>
      </c>
      <c r="E718" s="34">
        <f t="shared" si="47"/>
        <v>9243</v>
      </c>
    </row>
    <row r="719" spans="1:5">
      <c r="A719" s="34"/>
      <c r="B719" s="34"/>
      <c r="C719" s="34">
        <f t="shared" si="46"/>
        <v>713</v>
      </c>
      <c r="D719" s="34">
        <v>1211</v>
      </c>
      <c r="E719" s="34">
        <f t="shared" si="47"/>
        <v>9256</v>
      </c>
    </row>
    <row r="720" spans="1:5">
      <c r="A720" s="34"/>
      <c r="B720" s="34"/>
      <c r="C720" s="34">
        <f t="shared" si="46"/>
        <v>714</v>
      </c>
      <c r="D720" s="34">
        <v>867</v>
      </c>
      <c r="E720" s="34">
        <f t="shared" si="47"/>
        <v>9269</v>
      </c>
    </row>
    <row r="721" spans="1:5">
      <c r="A721" s="34"/>
      <c r="B721" s="34"/>
      <c r="C721" s="34">
        <f t="shared" si="46"/>
        <v>715</v>
      </c>
      <c r="D721" s="34">
        <v>139</v>
      </c>
      <c r="E721" s="34">
        <f t="shared" si="47"/>
        <v>9282</v>
      </c>
    </row>
    <row r="722" spans="1:5">
      <c r="A722" s="34"/>
      <c r="B722" s="34"/>
      <c r="C722" s="34">
        <f t="shared" si="46"/>
        <v>716</v>
      </c>
      <c r="D722" s="34">
        <v>411</v>
      </c>
      <c r="E722" s="34">
        <f t="shared" si="47"/>
        <v>9295</v>
      </c>
    </row>
    <row r="723" spans="1:5">
      <c r="A723" s="34"/>
      <c r="B723" s="34"/>
      <c r="C723" s="34">
        <f t="shared" si="46"/>
        <v>717</v>
      </c>
      <c r="D723" s="34" t="s">
        <v>92</v>
      </c>
      <c r="E723" s="34">
        <f t="shared" si="47"/>
        <v>9308</v>
      </c>
    </row>
    <row r="724" spans="1:5">
      <c r="A724" s="34"/>
      <c r="B724" s="34"/>
      <c r="C724" s="34">
        <f t="shared" si="46"/>
        <v>718</v>
      </c>
      <c r="D724" s="34">
        <v>25</v>
      </c>
      <c r="E724" s="34">
        <f t="shared" si="47"/>
        <v>9321</v>
      </c>
    </row>
    <row r="725" spans="1:5">
      <c r="A725" s="34"/>
      <c r="B725" s="34"/>
      <c r="C725" s="34">
        <f t="shared" si="46"/>
        <v>719</v>
      </c>
      <c r="D725" s="34">
        <v>5.9</v>
      </c>
      <c r="E725" s="34">
        <f t="shared" si="47"/>
        <v>9334</v>
      </c>
    </row>
    <row r="726" spans="1:5">
      <c r="A726" s="34"/>
      <c r="B726" s="34"/>
      <c r="C726" s="34">
        <f t="shared" si="46"/>
        <v>720</v>
      </c>
      <c r="D726" s="34">
        <v>8736</v>
      </c>
      <c r="E726" s="34">
        <f t="shared" si="47"/>
        <v>9347</v>
      </c>
    </row>
    <row r="727" spans="1:5">
      <c r="A727" s="34"/>
      <c r="B727" s="34"/>
      <c r="C727" s="34">
        <f t="shared" si="46"/>
        <v>721</v>
      </c>
      <c r="D727" s="34">
        <v>17633</v>
      </c>
      <c r="E727" s="34">
        <f t="shared" si="47"/>
        <v>9360</v>
      </c>
    </row>
    <row r="728" spans="1:5">
      <c r="A728" s="34"/>
      <c r="B728" s="34"/>
      <c r="C728" s="34">
        <f t="shared" si="46"/>
        <v>722</v>
      </c>
      <c r="D728" s="34">
        <v>2.02</v>
      </c>
      <c r="E728" s="34">
        <f t="shared" si="47"/>
        <v>9373</v>
      </c>
    </row>
    <row r="729" spans="1:5">
      <c r="A729" s="34"/>
      <c r="B729" s="34"/>
      <c r="C729" s="34">
        <f t="shared" ref="C729:C792" si="48">C728+1</f>
        <v>723</v>
      </c>
      <c r="D729" s="34">
        <v>341</v>
      </c>
      <c r="E729" s="34">
        <f t="shared" si="47"/>
        <v>9386</v>
      </c>
    </row>
    <row r="730" spans="1:5">
      <c r="A730" s="34"/>
      <c r="B730" s="34"/>
      <c r="C730" s="34">
        <f t="shared" si="48"/>
        <v>724</v>
      </c>
      <c r="D730" s="34">
        <v>21681</v>
      </c>
      <c r="E730" s="34">
        <f t="shared" si="47"/>
        <v>9399</v>
      </c>
    </row>
    <row r="731" spans="1:5">
      <c r="A731" s="34"/>
      <c r="B731" s="34"/>
      <c r="C731" s="34">
        <f t="shared" si="48"/>
        <v>725</v>
      </c>
      <c r="D731" s="34">
        <v>2.48</v>
      </c>
      <c r="E731" s="34">
        <f t="shared" si="47"/>
        <v>9412</v>
      </c>
    </row>
    <row r="732" spans="1:5">
      <c r="A732" s="34"/>
      <c r="B732" s="34"/>
      <c r="C732" s="34">
        <f t="shared" si="48"/>
        <v>726</v>
      </c>
      <c r="D732" s="34">
        <v>867</v>
      </c>
      <c r="E732" s="34">
        <f t="shared" si="47"/>
        <v>9425</v>
      </c>
    </row>
    <row r="733" spans="1:5">
      <c r="A733" s="34"/>
      <c r="B733" s="34"/>
      <c r="C733" s="34">
        <f t="shared" si="48"/>
        <v>727</v>
      </c>
      <c r="D733" s="34">
        <v>419</v>
      </c>
      <c r="E733" s="34">
        <f t="shared" si="47"/>
        <v>9438</v>
      </c>
    </row>
    <row r="734" spans="1:5">
      <c r="A734" s="34"/>
      <c r="B734" s="34"/>
      <c r="C734" s="34">
        <f t="shared" si="48"/>
        <v>728</v>
      </c>
      <c r="D734" s="34">
        <v>99</v>
      </c>
      <c r="E734" s="34">
        <f t="shared" si="47"/>
        <v>9451</v>
      </c>
    </row>
    <row r="735" spans="1:5">
      <c r="A735" s="34"/>
      <c r="B735" s="34"/>
      <c r="C735" s="34">
        <f t="shared" si="48"/>
        <v>729</v>
      </c>
      <c r="D735" s="34">
        <v>423</v>
      </c>
      <c r="E735" s="34">
        <f t="shared" si="47"/>
        <v>9464</v>
      </c>
    </row>
    <row r="736" spans="1:5">
      <c r="A736" s="34"/>
      <c r="B736" s="34"/>
      <c r="C736" s="34">
        <f t="shared" si="48"/>
        <v>730</v>
      </c>
      <c r="D736" s="34" t="s">
        <v>92</v>
      </c>
      <c r="E736" s="34">
        <f t="shared" si="47"/>
        <v>9477</v>
      </c>
    </row>
    <row r="737" spans="1:5">
      <c r="A737" s="34"/>
      <c r="B737" s="34"/>
      <c r="C737" s="34">
        <f t="shared" si="48"/>
        <v>731</v>
      </c>
      <c r="D737" s="34">
        <v>10</v>
      </c>
      <c r="E737" s="34">
        <f t="shared" si="47"/>
        <v>9490</v>
      </c>
    </row>
    <row r="738" spans="1:5">
      <c r="A738" s="34"/>
      <c r="B738" s="34"/>
      <c r="C738" s="34">
        <f t="shared" si="48"/>
        <v>732</v>
      </c>
      <c r="D738" s="34">
        <v>2.6</v>
      </c>
      <c r="E738" s="34">
        <f t="shared" si="47"/>
        <v>9503</v>
      </c>
    </row>
    <row r="739" spans="1:5">
      <c r="A739" s="34"/>
      <c r="B739" s="34"/>
      <c r="C739" s="34">
        <f t="shared" si="48"/>
        <v>733</v>
      </c>
      <c r="D739" s="34">
        <v>4420</v>
      </c>
      <c r="E739" s="34">
        <f>E738+13</f>
        <v>9516</v>
      </c>
    </row>
    <row r="740" spans="1:5">
      <c r="A740" s="34"/>
      <c r="B740" s="34"/>
      <c r="C740" s="34">
        <f t="shared" si="48"/>
        <v>734</v>
      </c>
      <c r="D740" s="34">
        <v>7590</v>
      </c>
      <c r="E740" s="34">
        <f t="shared" ref="E740:E803" si="49">E739+13</f>
        <v>9529</v>
      </c>
    </row>
    <row r="741" spans="1:5">
      <c r="A741" s="34"/>
      <c r="B741" s="34"/>
      <c r="C741" s="34">
        <f t="shared" si="48"/>
        <v>735</v>
      </c>
      <c r="D741" s="34">
        <v>1.72</v>
      </c>
      <c r="E741" s="34">
        <f t="shared" si="49"/>
        <v>9542</v>
      </c>
    </row>
    <row r="742" spans="1:5">
      <c r="A742" s="34"/>
      <c r="B742" s="34"/>
      <c r="C742" s="34">
        <f t="shared" si="48"/>
        <v>736</v>
      </c>
      <c r="D742" s="34">
        <v>650</v>
      </c>
      <c r="E742" s="34">
        <f t="shared" si="49"/>
        <v>9555</v>
      </c>
    </row>
    <row r="743" spans="1:5">
      <c r="A743" s="34"/>
      <c r="B743" s="34"/>
      <c r="C743" s="34">
        <f t="shared" si="48"/>
        <v>737</v>
      </c>
      <c r="D743" s="34">
        <v>7592</v>
      </c>
      <c r="E743" s="34">
        <f t="shared" si="49"/>
        <v>9568</v>
      </c>
    </row>
    <row r="744" spans="1:5">
      <c r="A744" s="34"/>
      <c r="B744" s="34"/>
      <c r="C744" s="34">
        <f t="shared" si="48"/>
        <v>738</v>
      </c>
      <c r="D744" s="34">
        <v>1.72</v>
      </c>
      <c r="E744" s="34">
        <f t="shared" si="49"/>
        <v>9581</v>
      </c>
    </row>
    <row r="745" spans="1:5">
      <c r="A745" s="34"/>
      <c r="B745" s="34"/>
      <c r="C745" s="34">
        <f t="shared" si="48"/>
        <v>739</v>
      </c>
      <c r="D745" s="34">
        <v>759</v>
      </c>
      <c r="E745" s="34">
        <f t="shared" si="49"/>
        <v>9594</v>
      </c>
    </row>
    <row r="746" spans="1:5">
      <c r="A746" s="34"/>
      <c r="B746" s="34"/>
      <c r="C746" s="34">
        <f t="shared" si="48"/>
        <v>740</v>
      </c>
      <c r="D746" s="34">
        <v>650</v>
      </c>
      <c r="E746" s="34">
        <f t="shared" si="49"/>
        <v>9607</v>
      </c>
    </row>
    <row r="747" spans="1:5">
      <c r="A747" s="34"/>
      <c r="B747" s="34"/>
      <c r="C747" s="34">
        <f t="shared" si="48"/>
        <v>741</v>
      </c>
      <c r="D747" s="34">
        <v>172</v>
      </c>
      <c r="E747" s="34">
        <f t="shared" si="49"/>
        <v>9620</v>
      </c>
    </row>
    <row r="748" spans="1:5">
      <c r="A748" s="34"/>
      <c r="B748" s="34"/>
      <c r="C748" s="34">
        <f t="shared" si="48"/>
        <v>742</v>
      </c>
      <c r="D748" s="34">
        <v>424</v>
      </c>
      <c r="E748" s="34">
        <f t="shared" si="49"/>
        <v>9633</v>
      </c>
    </row>
    <row r="749" spans="1:5">
      <c r="A749" s="34"/>
      <c r="B749" s="34"/>
      <c r="C749" s="34">
        <f t="shared" si="48"/>
        <v>743</v>
      </c>
      <c r="D749" s="34" t="s">
        <v>92</v>
      </c>
      <c r="E749" s="34">
        <f t="shared" si="49"/>
        <v>9646</v>
      </c>
    </row>
    <row r="750" spans="1:5">
      <c r="A750" s="34"/>
      <c r="B750" s="34"/>
      <c r="C750" s="34">
        <f t="shared" si="48"/>
        <v>744</v>
      </c>
      <c r="D750" s="34">
        <v>10</v>
      </c>
      <c r="E750" s="34">
        <f t="shared" si="49"/>
        <v>9659</v>
      </c>
    </row>
    <row r="751" spans="1:5">
      <c r="A751" s="34"/>
      <c r="B751" s="34"/>
      <c r="C751" s="34">
        <f t="shared" si="48"/>
        <v>745</v>
      </c>
      <c r="D751" s="34">
        <v>2.4</v>
      </c>
      <c r="E751" s="34">
        <f t="shared" si="49"/>
        <v>9672</v>
      </c>
    </row>
    <row r="752" spans="1:5">
      <c r="A752" s="34"/>
      <c r="B752" s="34"/>
      <c r="C752" s="34">
        <f t="shared" si="48"/>
        <v>746</v>
      </c>
      <c r="D752" s="34">
        <v>4420</v>
      </c>
      <c r="E752" s="34">
        <f t="shared" si="49"/>
        <v>9685</v>
      </c>
    </row>
    <row r="753" spans="1:5">
      <c r="A753" s="34"/>
      <c r="B753" s="34"/>
      <c r="C753" s="34">
        <f t="shared" si="48"/>
        <v>747</v>
      </c>
      <c r="D753" s="34">
        <v>5848</v>
      </c>
      <c r="E753" s="34">
        <f t="shared" si="49"/>
        <v>9698</v>
      </c>
    </row>
    <row r="754" spans="1:5">
      <c r="A754" s="34"/>
      <c r="B754" s="34"/>
      <c r="C754" s="34">
        <f t="shared" si="48"/>
        <v>748</v>
      </c>
      <c r="D754" s="34">
        <v>1.32</v>
      </c>
      <c r="E754" s="34">
        <f t="shared" si="49"/>
        <v>9711</v>
      </c>
    </row>
    <row r="755" spans="1:5">
      <c r="A755" s="34"/>
      <c r="B755" s="34"/>
      <c r="C755" s="34">
        <f t="shared" si="48"/>
        <v>749</v>
      </c>
      <c r="D755" s="34">
        <v>561</v>
      </c>
      <c r="E755" s="34">
        <f t="shared" si="49"/>
        <v>9724</v>
      </c>
    </row>
    <row r="756" spans="1:5">
      <c r="A756" s="34"/>
      <c r="B756" s="34"/>
      <c r="C756" s="34">
        <f t="shared" si="48"/>
        <v>750</v>
      </c>
      <c r="D756" s="34">
        <v>7768</v>
      </c>
      <c r="E756" s="34">
        <f t="shared" si="49"/>
        <v>9737</v>
      </c>
    </row>
    <row r="757" spans="1:5">
      <c r="A757" s="34"/>
      <c r="B757" s="34"/>
      <c r="C757" s="34">
        <f t="shared" si="48"/>
        <v>751</v>
      </c>
      <c r="D757" s="34">
        <v>1.76</v>
      </c>
      <c r="E757" s="34">
        <f t="shared" si="49"/>
        <v>9750</v>
      </c>
    </row>
    <row r="758" spans="1:5">
      <c r="A758" s="34"/>
      <c r="B758" s="34"/>
      <c r="C758" s="34">
        <f t="shared" si="48"/>
        <v>752</v>
      </c>
      <c r="D758" s="34">
        <v>777</v>
      </c>
      <c r="E758" s="34">
        <f t="shared" si="49"/>
        <v>9763</v>
      </c>
    </row>
    <row r="759" spans="1:5">
      <c r="A759" s="34"/>
      <c r="B759" s="34"/>
      <c r="C759" s="34">
        <f t="shared" si="48"/>
        <v>753</v>
      </c>
      <c r="D759" s="34">
        <v>745</v>
      </c>
      <c r="E759" s="34">
        <f t="shared" si="49"/>
        <v>9776</v>
      </c>
    </row>
    <row r="760" spans="1:5">
      <c r="A760" s="34"/>
      <c r="B760" s="34"/>
      <c r="C760" s="34">
        <f t="shared" si="48"/>
        <v>754</v>
      </c>
      <c r="D760" s="34">
        <v>176</v>
      </c>
      <c r="E760" s="34">
        <f t="shared" si="49"/>
        <v>9789</v>
      </c>
    </row>
    <row r="761" spans="1:5">
      <c r="A761" s="34"/>
      <c r="B761" s="34"/>
      <c r="C761" s="34">
        <f t="shared" si="48"/>
        <v>755</v>
      </c>
      <c r="D761" s="34">
        <v>425</v>
      </c>
      <c r="E761" s="34">
        <f t="shared" si="49"/>
        <v>9802</v>
      </c>
    </row>
    <row r="762" spans="1:5">
      <c r="A762" s="34"/>
      <c r="B762" s="34"/>
      <c r="C762" s="34">
        <f t="shared" si="48"/>
        <v>756</v>
      </c>
      <c r="D762" s="34" t="s">
        <v>92</v>
      </c>
      <c r="E762" s="34">
        <f t="shared" si="49"/>
        <v>9815</v>
      </c>
    </row>
    <row r="763" spans="1:5">
      <c r="A763" s="34"/>
      <c r="B763" s="34"/>
      <c r="C763" s="34">
        <f t="shared" si="48"/>
        <v>757</v>
      </c>
      <c r="D763" s="34">
        <v>10</v>
      </c>
      <c r="E763" s="34">
        <f t="shared" si="49"/>
        <v>9828</v>
      </c>
    </row>
    <row r="764" spans="1:5">
      <c r="A764" s="34"/>
      <c r="B764" s="34"/>
      <c r="C764" s="34">
        <f t="shared" si="48"/>
        <v>758</v>
      </c>
      <c r="D764" s="34">
        <v>3</v>
      </c>
      <c r="E764" s="34">
        <f t="shared" si="49"/>
        <v>9841</v>
      </c>
    </row>
    <row r="765" spans="1:5">
      <c r="A765" s="34"/>
      <c r="B765" s="34"/>
      <c r="C765" s="34">
        <f t="shared" si="48"/>
        <v>759</v>
      </c>
      <c r="D765" s="34">
        <v>4420</v>
      </c>
      <c r="E765" s="34">
        <f t="shared" si="49"/>
        <v>9854</v>
      </c>
    </row>
    <row r="766" spans="1:5">
      <c r="A766" s="34"/>
      <c r="B766" s="34"/>
      <c r="C766" s="34">
        <f t="shared" si="48"/>
        <v>760</v>
      </c>
      <c r="D766" s="34">
        <v>9403</v>
      </c>
      <c r="E766" s="34">
        <f t="shared" si="49"/>
        <v>9867</v>
      </c>
    </row>
    <row r="767" spans="1:5">
      <c r="A767" s="34"/>
      <c r="B767" s="34"/>
      <c r="C767" s="34">
        <f t="shared" si="48"/>
        <v>761</v>
      </c>
      <c r="D767" s="34">
        <v>2.13</v>
      </c>
      <c r="E767" s="34">
        <f t="shared" si="49"/>
        <v>9880</v>
      </c>
    </row>
    <row r="768" spans="1:5">
      <c r="A768" s="34"/>
      <c r="B768" s="34"/>
      <c r="C768" s="34">
        <f t="shared" si="48"/>
        <v>762</v>
      </c>
      <c r="D768" s="34">
        <v>704</v>
      </c>
      <c r="E768" s="34">
        <f t="shared" si="49"/>
        <v>9893</v>
      </c>
    </row>
    <row r="769" spans="1:5">
      <c r="A769" s="34"/>
      <c r="B769" s="34"/>
      <c r="C769" s="34">
        <f t="shared" si="48"/>
        <v>763</v>
      </c>
      <c r="D769" s="34">
        <v>9205</v>
      </c>
      <c r="E769" s="34">
        <f t="shared" si="49"/>
        <v>9906</v>
      </c>
    </row>
    <row r="770" spans="1:5">
      <c r="A770" s="34"/>
      <c r="B770" s="34"/>
      <c r="C770" s="34">
        <f t="shared" si="48"/>
        <v>764</v>
      </c>
      <c r="D770" s="34">
        <v>2.08</v>
      </c>
      <c r="E770" s="34">
        <f t="shared" si="49"/>
        <v>9919</v>
      </c>
    </row>
    <row r="771" spans="1:5">
      <c r="A771" s="34"/>
      <c r="B771" s="34"/>
      <c r="C771" s="34">
        <f t="shared" si="48"/>
        <v>765</v>
      </c>
      <c r="D771" s="34">
        <v>920</v>
      </c>
      <c r="E771" s="34">
        <f t="shared" si="49"/>
        <v>9932</v>
      </c>
    </row>
    <row r="772" spans="1:5">
      <c r="A772" s="34"/>
      <c r="B772" s="34"/>
      <c r="C772" s="34">
        <f t="shared" si="48"/>
        <v>766</v>
      </c>
      <c r="D772" s="34">
        <v>689</v>
      </c>
      <c r="E772" s="34">
        <f t="shared" si="49"/>
        <v>9945</v>
      </c>
    </row>
    <row r="773" spans="1:5">
      <c r="A773" s="34"/>
      <c r="B773" s="34"/>
      <c r="C773" s="34">
        <f t="shared" si="48"/>
        <v>767</v>
      </c>
      <c r="D773" s="34">
        <v>208</v>
      </c>
      <c r="E773" s="34">
        <f t="shared" si="49"/>
        <v>9958</v>
      </c>
    </row>
    <row r="774" spans="1:5">
      <c r="A774" s="34"/>
      <c r="B774" s="34"/>
      <c r="C774" s="34">
        <f t="shared" si="48"/>
        <v>768</v>
      </c>
      <c r="D774" s="36">
        <v>426</v>
      </c>
      <c r="E774" s="34">
        <f t="shared" si="49"/>
        <v>9971</v>
      </c>
    </row>
    <row r="775" spans="1:5">
      <c r="A775" s="34"/>
      <c r="B775" s="34"/>
      <c r="C775" s="34">
        <f t="shared" si="48"/>
        <v>769</v>
      </c>
      <c r="D775" s="34" t="s">
        <v>92</v>
      </c>
      <c r="E775" s="34">
        <f t="shared" si="49"/>
        <v>9984</v>
      </c>
    </row>
    <row r="776" spans="1:5">
      <c r="A776" s="34"/>
      <c r="B776" s="34"/>
      <c r="C776" s="34">
        <f t="shared" si="48"/>
        <v>770</v>
      </c>
      <c r="D776" s="34">
        <v>10</v>
      </c>
      <c r="E776" s="34">
        <f t="shared" si="49"/>
        <v>9997</v>
      </c>
    </row>
    <row r="777" spans="1:5">
      <c r="A777" s="34"/>
      <c r="B777" s="34"/>
      <c r="C777" s="34">
        <f t="shared" si="48"/>
        <v>771</v>
      </c>
      <c r="D777" s="34">
        <v>2.7</v>
      </c>
      <c r="E777" s="34">
        <f t="shared" si="49"/>
        <v>10010</v>
      </c>
    </row>
    <row r="778" spans="1:5">
      <c r="A778" s="34"/>
      <c r="B778" s="34"/>
      <c r="C778" s="34">
        <f t="shared" si="48"/>
        <v>772</v>
      </c>
      <c r="D778" s="34">
        <v>4420</v>
      </c>
      <c r="E778" s="34">
        <f t="shared" si="49"/>
        <v>10023</v>
      </c>
    </row>
    <row r="779" spans="1:5">
      <c r="A779" s="34"/>
      <c r="B779" s="34"/>
      <c r="C779" s="34">
        <f t="shared" si="48"/>
        <v>773</v>
      </c>
      <c r="D779" s="34">
        <v>7728</v>
      </c>
      <c r="E779" s="34">
        <f t="shared" si="49"/>
        <v>10036</v>
      </c>
    </row>
    <row r="780" spans="1:5">
      <c r="A780" s="34"/>
      <c r="B780" s="34"/>
      <c r="C780" s="34">
        <f t="shared" si="48"/>
        <v>774</v>
      </c>
      <c r="D780" s="34">
        <v>1.75</v>
      </c>
      <c r="E780" s="34">
        <f t="shared" si="49"/>
        <v>10049</v>
      </c>
    </row>
    <row r="781" spans="1:5">
      <c r="A781" s="34"/>
      <c r="B781" s="34"/>
      <c r="C781" s="34">
        <f t="shared" si="48"/>
        <v>775</v>
      </c>
      <c r="D781" s="34">
        <v>640</v>
      </c>
      <c r="E781" s="34">
        <f t="shared" si="49"/>
        <v>10062</v>
      </c>
    </row>
    <row r="782" spans="1:5">
      <c r="A782" s="34"/>
      <c r="B782" s="34"/>
      <c r="C782" s="34">
        <f t="shared" si="48"/>
        <v>776</v>
      </c>
      <c r="D782" s="34">
        <v>7960</v>
      </c>
      <c r="E782" s="34">
        <f t="shared" si="49"/>
        <v>10075</v>
      </c>
    </row>
    <row r="783" spans="1:5">
      <c r="A783" s="34"/>
      <c r="B783" s="34"/>
      <c r="C783" s="34">
        <f t="shared" si="48"/>
        <v>777</v>
      </c>
      <c r="D783" s="34">
        <v>1.8</v>
      </c>
      <c r="E783" s="34">
        <f t="shared" si="49"/>
        <v>10088</v>
      </c>
    </row>
    <row r="784" spans="1:5">
      <c r="A784" s="34"/>
      <c r="B784" s="34"/>
      <c r="C784" s="34">
        <f t="shared" si="48"/>
        <v>778</v>
      </c>
      <c r="D784" s="34">
        <v>796</v>
      </c>
      <c r="E784" s="34">
        <f t="shared" si="49"/>
        <v>10101</v>
      </c>
    </row>
    <row r="785" spans="1:5">
      <c r="A785" s="34"/>
      <c r="B785" s="34"/>
      <c r="C785" s="34">
        <f t="shared" si="48"/>
        <v>779</v>
      </c>
      <c r="D785" s="34">
        <v>659</v>
      </c>
      <c r="E785" s="34">
        <f t="shared" si="49"/>
        <v>10114</v>
      </c>
    </row>
    <row r="786" spans="1:5">
      <c r="A786" s="34"/>
      <c r="B786" s="34"/>
      <c r="C786" s="34">
        <f t="shared" si="48"/>
        <v>780</v>
      </c>
      <c r="D786" s="34">
        <v>180</v>
      </c>
      <c r="E786" s="34">
        <f t="shared" si="49"/>
        <v>10127</v>
      </c>
    </row>
    <row r="787" spans="1:5">
      <c r="A787" s="34"/>
      <c r="B787" s="34"/>
      <c r="C787" s="34">
        <f t="shared" si="48"/>
        <v>781</v>
      </c>
      <c r="D787" s="34">
        <v>427</v>
      </c>
      <c r="E787" s="34">
        <f t="shared" si="49"/>
        <v>10140</v>
      </c>
    </row>
    <row r="788" spans="1:5">
      <c r="A788" s="34"/>
      <c r="B788" s="34"/>
      <c r="C788" s="34">
        <f t="shared" si="48"/>
        <v>782</v>
      </c>
      <c r="D788" s="34" t="s">
        <v>92</v>
      </c>
      <c r="E788" s="34">
        <f t="shared" si="49"/>
        <v>10153</v>
      </c>
    </row>
    <row r="789" spans="1:5">
      <c r="A789" s="34"/>
      <c r="B789" s="34"/>
      <c r="C789" s="34">
        <f t="shared" si="48"/>
        <v>783</v>
      </c>
      <c r="D789" s="34">
        <v>10</v>
      </c>
      <c r="E789" s="34">
        <f t="shared" si="49"/>
        <v>10166</v>
      </c>
    </row>
    <row r="790" spans="1:5">
      <c r="A790" s="34"/>
      <c r="B790" s="34"/>
      <c r="C790" s="34">
        <f t="shared" si="48"/>
        <v>784</v>
      </c>
      <c r="D790" s="34">
        <v>3</v>
      </c>
      <c r="E790" s="34">
        <f t="shared" si="49"/>
        <v>10179</v>
      </c>
    </row>
    <row r="791" spans="1:5">
      <c r="A791" s="34"/>
      <c r="B791" s="34"/>
      <c r="C791" s="34">
        <f t="shared" si="48"/>
        <v>785</v>
      </c>
      <c r="D791" s="34">
        <v>4420</v>
      </c>
      <c r="E791" s="34">
        <f t="shared" si="49"/>
        <v>10192</v>
      </c>
    </row>
    <row r="792" spans="1:5">
      <c r="A792" s="34"/>
      <c r="B792" s="34"/>
      <c r="C792" s="34">
        <f t="shared" si="48"/>
        <v>786</v>
      </c>
      <c r="D792" s="34">
        <v>9515</v>
      </c>
      <c r="E792" s="34">
        <f t="shared" si="49"/>
        <v>10205</v>
      </c>
    </row>
    <row r="793" spans="1:5">
      <c r="A793" s="34"/>
      <c r="B793" s="34"/>
      <c r="C793" s="34">
        <f t="shared" ref="C793:C827" si="50">C792+1</f>
        <v>787</v>
      </c>
      <c r="D793" s="34">
        <v>2.15</v>
      </c>
      <c r="E793" s="34">
        <f t="shared" si="49"/>
        <v>10218</v>
      </c>
    </row>
    <row r="794" spans="1:5">
      <c r="A794" s="34"/>
      <c r="B794" s="34"/>
      <c r="C794" s="34">
        <f t="shared" si="50"/>
        <v>788</v>
      </c>
      <c r="D794" s="34">
        <v>708</v>
      </c>
      <c r="E794" s="34">
        <f t="shared" si="49"/>
        <v>10231</v>
      </c>
    </row>
    <row r="795" spans="1:5">
      <c r="A795" s="34"/>
      <c r="B795" s="34"/>
      <c r="C795" s="34">
        <f t="shared" si="50"/>
        <v>789</v>
      </c>
      <c r="D795" s="34">
        <v>9867</v>
      </c>
      <c r="E795" s="34">
        <f t="shared" si="49"/>
        <v>10244</v>
      </c>
    </row>
    <row r="796" spans="1:5">
      <c r="A796" s="34"/>
      <c r="B796" s="34"/>
      <c r="C796" s="34">
        <f t="shared" si="50"/>
        <v>790</v>
      </c>
      <c r="D796" s="34">
        <v>2.23</v>
      </c>
      <c r="E796" s="34">
        <f t="shared" si="49"/>
        <v>10257</v>
      </c>
    </row>
    <row r="797" spans="1:5">
      <c r="A797" s="34"/>
      <c r="B797" s="34"/>
      <c r="C797" s="34">
        <f t="shared" si="50"/>
        <v>791</v>
      </c>
      <c r="D797" s="34">
        <v>987</v>
      </c>
      <c r="E797" s="34">
        <f t="shared" si="49"/>
        <v>10270</v>
      </c>
    </row>
    <row r="798" spans="1:5">
      <c r="A798" s="34"/>
      <c r="B798" s="34"/>
      <c r="C798" s="34">
        <f t="shared" si="50"/>
        <v>792</v>
      </c>
      <c r="D798" s="34">
        <v>735</v>
      </c>
      <c r="E798" s="34">
        <f t="shared" si="49"/>
        <v>10283</v>
      </c>
    </row>
    <row r="799" spans="1:5">
      <c r="A799" s="34"/>
      <c r="B799" s="34"/>
      <c r="C799" s="34">
        <f t="shared" si="50"/>
        <v>793</v>
      </c>
      <c r="D799" s="34">
        <v>223</v>
      </c>
      <c r="E799" s="34">
        <f t="shared" si="49"/>
        <v>10296</v>
      </c>
    </row>
    <row r="800" spans="1:5">
      <c r="A800" s="34"/>
      <c r="B800" s="34"/>
      <c r="C800" s="34">
        <f t="shared" si="50"/>
        <v>794</v>
      </c>
      <c r="D800" s="34"/>
      <c r="E800" s="34">
        <f t="shared" si="49"/>
        <v>10309</v>
      </c>
    </row>
    <row r="801" spans="1:5">
      <c r="A801" s="34"/>
      <c r="B801" s="34"/>
      <c r="C801" s="34">
        <f t="shared" si="50"/>
        <v>795</v>
      </c>
      <c r="D801" s="34"/>
      <c r="E801" s="34">
        <f t="shared" si="49"/>
        <v>10322</v>
      </c>
    </row>
    <row r="802" spans="1:5">
      <c r="A802" s="34"/>
      <c r="B802" s="34"/>
      <c r="C802" s="34">
        <f t="shared" si="50"/>
        <v>796</v>
      </c>
      <c r="D802" s="34"/>
      <c r="E802" s="34">
        <f t="shared" si="49"/>
        <v>10335</v>
      </c>
    </row>
    <row r="803" spans="1:5">
      <c r="A803" s="34"/>
      <c r="B803" s="34"/>
      <c r="C803" s="34">
        <f t="shared" si="50"/>
        <v>797</v>
      </c>
      <c r="D803" s="34"/>
      <c r="E803" s="34">
        <f t="shared" si="49"/>
        <v>10348</v>
      </c>
    </row>
    <row r="804" spans="1:5">
      <c r="A804" s="34"/>
      <c r="B804" s="34"/>
      <c r="C804" s="34">
        <f t="shared" si="50"/>
        <v>798</v>
      </c>
      <c r="D804" s="34"/>
      <c r="E804" s="34">
        <f t="shared" ref="E804:E827" si="51">E803+13</f>
        <v>10361</v>
      </c>
    </row>
    <row r="805" spans="1:5">
      <c r="A805" s="34"/>
      <c r="B805" s="34"/>
      <c r="C805" s="34">
        <f t="shared" si="50"/>
        <v>799</v>
      </c>
      <c r="D805" s="34"/>
      <c r="E805" s="34">
        <f t="shared" si="51"/>
        <v>10374</v>
      </c>
    </row>
    <row r="806" spans="1:5">
      <c r="A806" s="34"/>
      <c r="B806" s="34"/>
      <c r="C806" s="34">
        <f t="shared" si="50"/>
        <v>800</v>
      </c>
      <c r="D806" s="34"/>
      <c r="E806" s="34">
        <f t="shared" si="51"/>
        <v>10387</v>
      </c>
    </row>
    <row r="807" spans="1:5">
      <c r="A807" s="34"/>
      <c r="B807" s="34"/>
      <c r="C807" s="34">
        <f t="shared" si="50"/>
        <v>801</v>
      </c>
      <c r="D807" s="34"/>
      <c r="E807" s="34">
        <f t="shared" si="51"/>
        <v>10400</v>
      </c>
    </row>
    <row r="808" spans="1:5">
      <c r="A808" s="34"/>
      <c r="B808" s="34"/>
      <c r="C808" s="34">
        <f t="shared" si="50"/>
        <v>802</v>
      </c>
      <c r="D808" s="34"/>
      <c r="E808" s="34">
        <f t="shared" si="51"/>
        <v>10413</v>
      </c>
    </row>
    <row r="809" spans="1:5">
      <c r="A809" s="34"/>
      <c r="B809" s="34"/>
      <c r="C809" s="34">
        <f t="shared" si="50"/>
        <v>803</v>
      </c>
      <c r="D809" s="34"/>
      <c r="E809" s="34">
        <f t="shared" si="51"/>
        <v>10426</v>
      </c>
    </row>
    <row r="810" spans="1:5">
      <c r="A810" s="34"/>
      <c r="B810" s="34"/>
      <c r="C810" s="34">
        <f t="shared" si="50"/>
        <v>804</v>
      </c>
      <c r="D810" s="34"/>
      <c r="E810" s="34">
        <f t="shared" si="51"/>
        <v>10439</v>
      </c>
    </row>
    <row r="811" spans="1:5">
      <c r="A811" s="34"/>
      <c r="B811" s="34"/>
      <c r="C811" s="34">
        <f t="shared" si="50"/>
        <v>805</v>
      </c>
      <c r="D811" s="34"/>
      <c r="E811" s="34">
        <f t="shared" si="51"/>
        <v>10452</v>
      </c>
    </row>
    <row r="812" spans="1:5">
      <c r="A812" s="34"/>
      <c r="B812" s="34"/>
      <c r="C812" s="34">
        <f t="shared" si="50"/>
        <v>806</v>
      </c>
      <c r="D812" s="34"/>
      <c r="E812" s="34">
        <f t="shared" si="51"/>
        <v>10465</v>
      </c>
    </row>
    <row r="813" spans="1:5">
      <c r="A813" s="34"/>
      <c r="B813" s="34"/>
      <c r="C813" s="34">
        <f t="shared" si="50"/>
        <v>807</v>
      </c>
      <c r="D813" s="34"/>
      <c r="E813" s="34">
        <f t="shared" si="51"/>
        <v>10478</v>
      </c>
    </row>
    <row r="814" spans="1:5">
      <c r="A814" s="34"/>
      <c r="B814" s="34"/>
      <c r="C814" s="34">
        <f t="shared" si="50"/>
        <v>808</v>
      </c>
      <c r="D814" s="34"/>
      <c r="E814" s="34">
        <f t="shared" si="51"/>
        <v>10491</v>
      </c>
    </row>
    <row r="815" spans="1:5">
      <c r="A815" s="34"/>
      <c r="B815" s="34"/>
      <c r="C815" s="34">
        <f t="shared" si="50"/>
        <v>809</v>
      </c>
      <c r="D815" s="34"/>
      <c r="E815" s="34">
        <f t="shared" si="51"/>
        <v>10504</v>
      </c>
    </row>
    <row r="816" spans="1:5">
      <c r="A816" s="34"/>
      <c r="B816" s="34"/>
      <c r="C816" s="34">
        <f t="shared" si="50"/>
        <v>810</v>
      </c>
      <c r="D816" s="34"/>
      <c r="E816" s="34">
        <f t="shared" si="51"/>
        <v>10517</v>
      </c>
    </row>
    <row r="817" spans="1:5">
      <c r="A817" s="34"/>
      <c r="B817" s="34"/>
      <c r="C817" s="34">
        <f t="shared" si="50"/>
        <v>811</v>
      </c>
      <c r="D817" s="34"/>
      <c r="E817" s="34">
        <f t="shared" si="51"/>
        <v>10530</v>
      </c>
    </row>
    <row r="818" spans="1:5">
      <c r="A818" s="34"/>
      <c r="B818" s="34"/>
      <c r="C818" s="34">
        <f t="shared" si="50"/>
        <v>812</v>
      </c>
      <c r="D818" s="34"/>
      <c r="E818" s="34">
        <f t="shared" si="51"/>
        <v>10543</v>
      </c>
    </row>
    <row r="819" spans="1:5">
      <c r="A819" s="34"/>
      <c r="B819" s="34"/>
      <c r="C819" s="34">
        <f t="shared" si="50"/>
        <v>813</v>
      </c>
      <c r="D819" s="34"/>
      <c r="E819" s="34">
        <f t="shared" si="51"/>
        <v>10556</v>
      </c>
    </row>
    <row r="820" spans="1:5">
      <c r="A820" s="34"/>
      <c r="B820" s="34"/>
      <c r="C820" s="34">
        <f t="shared" si="50"/>
        <v>814</v>
      </c>
      <c r="D820" s="34"/>
      <c r="E820" s="34">
        <f t="shared" si="51"/>
        <v>10569</v>
      </c>
    </row>
    <row r="821" spans="1:5">
      <c r="A821" s="34"/>
      <c r="B821" s="34"/>
      <c r="C821" s="34">
        <f t="shared" si="50"/>
        <v>815</v>
      </c>
      <c r="D821" s="34"/>
      <c r="E821" s="34">
        <f t="shared" si="51"/>
        <v>10582</v>
      </c>
    </row>
    <row r="822" spans="1:5">
      <c r="A822" s="34"/>
      <c r="B822" s="34"/>
      <c r="C822" s="34">
        <f t="shared" si="50"/>
        <v>816</v>
      </c>
      <c r="D822" s="34"/>
      <c r="E822" s="34">
        <f t="shared" si="51"/>
        <v>10595</v>
      </c>
    </row>
    <row r="823" spans="1:5">
      <c r="A823" s="34"/>
      <c r="B823" s="34"/>
      <c r="C823" s="34">
        <f t="shared" si="50"/>
        <v>817</v>
      </c>
      <c r="D823" s="34"/>
      <c r="E823" s="34">
        <f t="shared" si="51"/>
        <v>10608</v>
      </c>
    </row>
    <row r="824" spans="1:5">
      <c r="A824" s="34"/>
      <c r="B824" s="34"/>
      <c r="C824" s="34">
        <f t="shared" si="50"/>
        <v>818</v>
      </c>
      <c r="D824" s="34"/>
      <c r="E824" s="34">
        <f t="shared" si="51"/>
        <v>10621</v>
      </c>
    </row>
    <row r="825" spans="1:5">
      <c r="A825" s="34"/>
      <c r="B825" s="34"/>
      <c r="C825" s="34">
        <f t="shared" si="50"/>
        <v>819</v>
      </c>
      <c r="D825" s="34"/>
      <c r="E825" s="34">
        <f t="shared" si="51"/>
        <v>10634</v>
      </c>
    </row>
    <row r="826" spans="1:5">
      <c r="A826" s="34"/>
      <c r="B826" s="34"/>
      <c r="C826" s="34">
        <f t="shared" si="50"/>
        <v>820</v>
      </c>
      <c r="D826" s="34"/>
      <c r="E826" s="34">
        <f t="shared" si="51"/>
        <v>10647</v>
      </c>
    </row>
    <row r="827" spans="1:5">
      <c r="A827" s="34"/>
      <c r="B827" s="34"/>
      <c r="C827" s="34">
        <f t="shared" si="50"/>
        <v>821</v>
      </c>
      <c r="D827" s="34"/>
      <c r="E827" s="34">
        <f t="shared" si="51"/>
        <v>10660</v>
      </c>
    </row>
  </sheetData>
  <mergeCells count="1">
    <mergeCell ref="A5:E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sheetPr codeName="Sheet13"/>
  <dimension ref="B3:N19"/>
  <sheetViews>
    <sheetView topLeftCell="A7" workbookViewId="0">
      <selection activeCell="H12" sqref="H12"/>
    </sheetView>
  </sheetViews>
  <sheetFormatPr defaultRowHeight="12.75"/>
  <cols>
    <col min="6" max="6" width="14.42578125" customWidth="1"/>
    <col min="8" max="8" width="31.140625" customWidth="1"/>
    <col min="9" max="9" width="13.140625" customWidth="1"/>
    <col min="10" max="10" width="19.42578125" customWidth="1"/>
    <col min="13" max="13" width="15" customWidth="1"/>
    <col min="14" max="14" width="18.28515625" customWidth="1"/>
  </cols>
  <sheetData>
    <row r="3" spans="2:14">
      <c r="B3" s="180" t="s">
        <v>390</v>
      </c>
      <c r="C3" s="180"/>
      <c r="D3" s="180"/>
      <c r="E3" s="180"/>
      <c r="F3" s="180"/>
      <c r="G3" s="426"/>
      <c r="H3" s="427"/>
      <c r="I3" s="426"/>
      <c r="J3" s="428"/>
      <c r="K3" s="181"/>
      <c r="L3" s="181"/>
      <c r="M3" s="181"/>
      <c r="N3" s="181"/>
    </row>
    <row r="4" spans="2:14">
      <c r="B4" s="180"/>
      <c r="C4" s="429" t="s">
        <v>391</v>
      </c>
      <c r="D4" s="429"/>
      <c r="E4" s="429"/>
      <c r="F4" s="429"/>
      <c r="G4" s="426" t="s">
        <v>392</v>
      </c>
      <c r="H4" s="427"/>
      <c r="I4" s="426" t="s">
        <v>393</v>
      </c>
      <c r="J4" s="428"/>
      <c r="K4" s="181"/>
      <c r="L4" s="181"/>
      <c r="M4" s="181"/>
      <c r="N4" s="181"/>
    </row>
    <row r="5" spans="2:14" ht="12.75" customHeight="1">
      <c r="B5" s="191" t="s">
        <v>394</v>
      </c>
      <c r="C5" s="423" t="s">
        <v>395</v>
      </c>
      <c r="D5" s="424"/>
      <c r="E5" s="424"/>
      <c r="F5" s="425"/>
      <c r="G5" s="423"/>
      <c r="H5" s="425"/>
      <c r="I5" s="423"/>
      <c r="J5" s="425"/>
      <c r="K5" s="181"/>
      <c r="L5" s="181"/>
      <c r="M5" s="181"/>
      <c r="N5" s="181"/>
    </row>
    <row r="6" spans="2:14" ht="67.5" customHeight="1">
      <c r="B6" s="191" t="s">
        <v>396</v>
      </c>
      <c r="C6" s="420" t="s">
        <v>397</v>
      </c>
      <c r="D6" s="421"/>
      <c r="E6" s="421"/>
      <c r="F6" s="422"/>
      <c r="G6" s="420" t="s">
        <v>398</v>
      </c>
      <c r="H6" s="422"/>
      <c r="I6" s="420" t="s">
        <v>399</v>
      </c>
      <c r="J6" s="422"/>
      <c r="K6" s="183"/>
      <c r="L6" s="183"/>
      <c r="M6" s="183"/>
      <c r="N6" s="183"/>
    </row>
    <row r="7" spans="2:14" ht="96" customHeight="1">
      <c r="B7" s="191" t="s">
        <v>400</v>
      </c>
      <c r="C7" s="420" t="s">
        <v>401</v>
      </c>
      <c r="D7" s="421"/>
      <c r="E7" s="421"/>
      <c r="F7" s="422"/>
      <c r="G7" s="420" t="s">
        <v>402</v>
      </c>
      <c r="H7" s="422"/>
      <c r="I7" s="420" t="s">
        <v>403</v>
      </c>
      <c r="J7" s="422"/>
      <c r="K7" s="183"/>
      <c r="L7" s="183"/>
      <c r="M7" s="183"/>
      <c r="N7" s="183"/>
    </row>
    <row r="8" spans="2:14">
      <c r="B8" s="181"/>
      <c r="C8" s="181"/>
      <c r="D8" s="181"/>
      <c r="E8" s="181"/>
      <c r="F8" s="181"/>
      <c r="G8" s="181"/>
      <c r="H8" s="181"/>
      <c r="I8" s="181"/>
      <c r="J8" s="181"/>
      <c r="K8" s="181"/>
      <c r="L8" s="181"/>
      <c r="M8" s="181"/>
      <c r="N8" s="181"/>
    </row>
    <row r="9" spans="2:14">
      <c r="B9" s="71"/>
      <c r="C9" s="71"/>
      <c r="D9" s="71"/>
      <c r="E9" s="71"/>
      <c r="F9" s="71"/>
      <c r="G9" s="181"/>
      <c r="H9" s="181"/>
      <c r="I9" s="181"/>
      <c r="J9" s="181"/>
      <c r="K9" s="181"/>
      <c r="L9" s="181"/>
      <c r="M9" s="181"/>
      <c r="N9" s="181"/>
    </row>
    <row r="10" spans="2:14">
      <c r="B10" s="71"/>
      <c r="C10" s="71"/>
      <c r="D10" s="71"/>
      <c r="E10" s="71"/>
      <c r="F10" s="71"/>
      <c r="G10" s="181"/>
      <c r="H10" s="181"/>
      <c r="I10" s="181"/>
      <c r="J10" s="181"/>
      <c r="K10" s="181"/>
      <c r="L10" s="181"/>
      <c r="M10" s="181"/>
      <c r="N10" s="181"/>
    </row>
    <row r="11" spans="2:14">
      <c r="B11" s="71"/>
      <c r="C11" s="71"/>
      <c r="D11" s="71"/>
      <c r="E11" s="71"/>
      <c r="F11" s="71"/>
      <c r="G11" s="181"/>
      <c r="H11" s="181"/>
      <c r="I11" s="181"/>
      <c r="J11" s="181"/>
      <c r="K11" s="181"/>
      <c r="L11" s="181"/>
      <c r="M11" s="181"/>
      <c r="N11" s="181"/>
    </row>
    <row r="12" spans="2:14">
      <c r="B12" s="71"/>
      <c r="C12" s="71"/>
      <c r="D12" s="71"/>
      <c r="E12" s="71"/>
      <c r="F12" s="71"/>
      <c r="G12" s="181"/>
      <c r="H12" s="181"/>
      <c r="I12" s="181"/>
      <c r="J12" s="181"/>
      <c r="K12" s="181"/>
      <c r="L12" s="181"/>
      <c r="M12" s="181"/>
      <c r="N12" s="181"/>
    </row>
    <row r="13" spans="2:14">
      <c r="B13" s="71"/>
      <c r="C13" s="71"/>
      <c r="D13" s="71"/>
      <c r="E13" s="71"/>
      <c r="F13" s="71"/>
      <c r="G13" s="181"/>
      <c r="H13" s="181"/>
      <c r="I13" s="181"/>
      <c r="J13" s="181"/>
      <c r="K13" s="181"/>
      <c r="L13" s="181"/>
      <c r="M13" s="181"/>
      <c r="N13" s="181"/>
    </row>
    <row r="14" spans="2:14">
      <c r="B14" s="71"/>
      <c r="C14" s="71"/>
      <c r="D14" s="71"/>
      <c r="E14" s="71"/>
      <c r="F14" s="71"/>
      <c r="G14" s="181"/>
      <c r="H14" s="181"/>
      <c r="I14" s="181"/>
      <c r="J14" s="181"/>
      <c r="K14" s="181"/>
      <c r="L14" s="181"/>
      <c r="M14" s="181"/>
      <c r="N14" s="181"/>
    </row>
    <row r="15" spans="2:14">
      <c r="B15" s="417" t="s">
        <v>404</v>
      </c>
      <c r="C15" s="417"/>
      <c r="D15" s="417"/>
      <c r="E15" s="417"/>
      <c r="F15" s="418" t="s">
        <v>405</v>
      </c>
      <c r="G15" s="418"/>
      <c r="H15" s="418"/>
      <c r="I15" s="418" t="s">
        <v>406</v>
      </c>
      <c r="J15" s="418"/>
      <c r="K15" s="418"/>
      <c r="L15" s="181"/>
      <c r="M15" s="419" t="s">
        <v>407</v>
      </c>
      <c r="N15" s="419"/>
    </row>
    <row r="16" spans="2:14" ht="63.75">
      <c r="B16" s="184" t="s">
        <v>408</v>
      </c>
      <c r="C16" s="184" t="s">
        <v>409</v>
      </c>
      <c r="D16" s="184" t="s">
        <v>410</v>
      </c>
      <c r="E16" s="185" t="s">
        <v>411</v>
      </c>
      <c r="F16" s="184" t="s">
        <v>412</v>
      </c>
      <c r="G16" s="185" t="s">
        <v>413</v>
      </c>
      <c r="H16" s="180" t="s">
        <v>414</v>
      </c>
      <c r="I16" s="184" t="s">
        <v>412</v>
      </c>
      <c r="J16" s="185" t="s">
        <v>413</v>
      </c>
      <c r="K16" s="185" t="s">
        <v>414</v>
      </c>
      <c r="L16" s="181"/>
      <c r="M16" s="186" t="s">
        <v>415</v>
      </c>
      <c r="N16" s="186" t="s">
        <v>416</v>
      </c>
    </row>
    <row r="17" spans="2:14">
      <c r="B17" s="187" t="s">
        <v>417</v>
      </c>
      <c r="C17" s="187">
        <v>0.12</v>
      </c>
      <c r="D17" s="187">
        <v>7.5</v>
      </c>
      <c r="E17" s="182">
        <v>0.8</v>
      </c>
      <c r="F17" s="187">
        <v>15</v>
      </c>
      <c r="G17" s="188">
        <f>C17+D17*F17/1000</f>
        <v>0.23249999999999998</v>
      </c>
      <c r="H17" s="189">
        <f>G17/E17</f>
        <v>0.29062499999999997</v>
      </c>
      <c r="I17" s="187">
        <v>1</v>
      </c>
      <c r="J17" s="188">
        <f>C17+D17*I17/1000</f>
        <v>0.1275</v>
      </c>
      <c r="K17" s="189">
        <f>J17/E17</f>
        <v>0.15937499999999999</v>
      </c>
      <c r="L17" s="181"/>
      <c r="M17" s="190">
        <f>H17*0.4</f>
        <v>0.11624999999999999</v>
      </c>
      <c r="N17" s="190">
        <f>K17*0.4</f>
        <v>6.3750000000000001E-2</v>
      </c>
    </row>
    <row r="18" spans="2:14">
      <c r="B18" s="187" t="s">
        <v>418</v>
      </c>
      <c r="C18" s="187">
        <v>0.06</v>
      </c>
      <c r="D18" s="187">
        <v>7.5</v>
      </c>
      <c r="E18" s="182">
        <v>0.8</v>
      </c>
      <c r="F18" s="187">
        <v>8</v>
      </c>
      <c r="G18" s="188">
        <f>C18+D18*F18/1000</f>
        <v>0.12</v>
      </c>
      <c r="H18" s="189">
        <f>G18/E18</f>
        <v>0.15</v>
      </c>
      <c r="I18" s="187">
        <v>1</v>
      </c>
      <c r="J18" s="188">
        <f>C18+D18*I18/1000</f>
        <v>6.7500000000000004E-2</v>
      </c>
      <c r="K18" s="189">
        <f>J18/E18</f>
        <v>8.4375000000000006E-2</v>
      </c>
      <c r="L18" s="181"/>
      <c r="M18" s="190">
        <f>H18*0.4</f>
        <v>0.06</v>
      </c>
      <c r="N18" s="190">
        <f>K18*0.4</f>
        <v>3.3750000000000002E-2</v>
      </c>
    </row>
    <row r="19" spans="2:14">
      <c r="B19" s="187" t="s">
        <v>419</v>
      </c>
      <c r="C19" s="187">
        <v>0.06</v>
      </c>
      <c r="D19" s="187">
        <v>5</v>
      </c>
      <c r="E19" s="182">
        <v>0.8</v>
      </c>
      <c r="F19" s="187">
        <v>5</v>
      </c>
      <c r="G19" s="188">
        <f>C19+D19*F19/1000</f>
        <v>8.4999999999999992E-2</v>
      </c>
      <c r="H19" s="189">
        <f>G19/E19</f>
        <v>0.10624999999999998</v>
      </c>
      <c r="I19" s="187">
        <v>1</v>
      </c>
      <c r="J19" s="188">
        <f>C19+D19*I19/1000</f>
        <v>6.5000000000000002E-2</v>
      </c>
      <c r="K19" s="189">
        <f>J19/E19</f>
        <v>8.1250000000000003E-2</v>
      </c>
      <c r="L19" s="181"/>
      <c r="M19" s="190">
        <f>H19*0.4</f>
        <v>4.2499999999999996E-2</v>
      </c>
      <c r="N19" s="190">
        <f>K19*0.4</f>
        <v>3.2500000000000001E-2</v>
      </c>
    </row>
  </sheetData>
  <mergeCells count="18">
    <mergeCell ref="C5:F5"/>
    <mergeCell ref="G5:H5"/>
    <mergeCell ref="I5:J5"/>
    <mergeCell ref="G3:H3"/>
    <mergeCell ref="I3:J3"/>
    <mergeCell ref="C4:F4"/>
    <mergeCell ref="G4:H4"/>
    <mergeCell ref="I4:J4"/>
    <mergeCell ref="B15:E15"/>
    <mergeCell ref="F15:H15"/>
    <mergeCell ref="I15:K15"/>
    <mergeCell ref="M15:N15"/>
    <mergeCell ref="C6:F6"/>
    <mergeCell ref="G6:H6"/>
    <mergeCell ref="I6:J6"/>
    <mergeCell ref="C7:F7"/>
    <mergeCell ref="G7:H7"/>
    <mergeCell ref="I7:J7"/>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sheetPr codeName="Sheet14"/>
  <dimension ref="A1"/>
  <sheetViews>
    <sheetView workbookViewId="0">
      <selection activeCell="J28" sqref="J28"/>
    </sheetView>
  </sheetViews>
  <sheetFormatPr defaultRowHeight="12.7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Sheet15"/>
  <dimension ref="A2:P78"/>
  <sheetViews>
    <sheetView workbookViewId="0">
      <selection activeCell="H26" sqref="H26:H27"/>
    </sheetView>
  </sheetViews>
  <sheetFormatPr defaultRowHeight="12.75"/>
  <sheetData>
    <row r="2" spans="1:16">
      <c r="A2" t="s">
        <v>165</v>
      </c>
    </row>
    <row r="5" spans="1:16">
      <c r="A5" s="52" t="s">
        <v>112</v>
      </c>
      <c r="B5" s="52"/>
      <c r="C5" s="52"/>
      <c r="D5" s="52"/>
      <c r="E5" s="52"/>
      <c r="F5" s="52"/>
      <c r="G5" s="52"/>
      <c r="H5" s="52"/>
      <c r="I5" s="52"/>
      <c r="J5" s="52"/>
      <c r="K5" s="52"/>
      <c r="L5" s="52"/>
      <c r="M5" s="52"/>
      <c r="N5" s="52"/>
      <c r="O5" s="52"/>
      <c r="P5" s="52"/>
    </row>
    <row r="10" spans="1:16">
      <c r="A10" s="53" t="s">
        <v>113</v>
      </c>
      <c r="B10" s="53"/>
      <c r="C10" s="53"/>
      <c r="D10" s="53"/>
      <c r="E10" s="53"/>
      <c r="F10" s="53"/>
      <c r="G10" s="53"/>
      <c r="I10" s="53" t="s">
        <v>114</v>
      </c>
      <c r="J10" s="53"/>
      <c r="K10" s="53"/>
      <c r="L10" s="53"/>
      <c r="M10" s="53"/>
      <c r="N10" s="53"/>
      <c r="O10" s="53"/>
    </row>
    <row r="11" spans="1:16">
      <c r="A11" s="54" t="s">
        <v>115</v>
      </c>
      <c r="B11" s="55">
        <v>0.22</v>
      </c>
      <c r="C11" s="54"/>
      <c r="D11" s="54"/>
      <c r="E11" s="54"/>
      <c r="F11" s="54"/>
      <c r="G11" s="54"/>
      <c r="I11" s="54" t="s">
        <v>116</v>
      </c>
      <c r="J11" s="55">
        <v>0.5</v>
      </c>
      <c r="K11" s="54"/>
      <c r="L11" s="54"/>
      <c r="M11" s="54"/>
      <c r="N11" s="54"/>
      <c r="O11" s="54"/>
    </row>
    <row r="12" spans="1:16">
      <c r="A12" s="54" t="s">
        <v>117</v>
      </c>
      <c r="B12" s="55">
        <v>0.4</v>
      </c>
      <c r="C12" s="54"/>
      <c r="D12" s="54"/>
      <c r="E12" s="54"/>
      <c r="F12" s="54"/>
      <c r="G12" s="54"/>
      <c r="I12" s="54" t="s">
        <v>48</v>
      </c>
      <c r="J12" s="55">
        <v>0.05</v>
      </c>
      <c r="K12" s="54"/>
      <c r="L12" s="54"/>
      <c r="M12" s="54"/>
      <c r="N12" s="54"/>
      <c r="O12" s="54"/>
    </row>
    <row r="13" spans="1:16">
      <c r="A13" s="54" t="s">
        <v>118</v>
      </c>
      <c r="B13" s="55">
        <v>0.49</v>
      </c>
      <c r="C13" s="54"/>
      <c r="D13" s="54"/>
      <c r="E13" s="54"/>
      <c r="F13" s="54"/>
      <c r="G13" s="54"/>
      <c r="I13" s="54" t="s">
        <v>119</v>
      </c>
      <c r="J13" s="55">
        <v>0.11</v>
      </c>
      <c r="K13" s="54"/>
      <c r="L13" s="54"/>
      <c r="M13" s="54"/>
      <c r="N13" s="54"/>
      <c r="O13" s="54"/>
    </row>
    <row r="14" spans="1:16">
      <c r="A14" s="54" t="s">
        <v>120</v>
      </c>
      <c r="B14" s="55">
        <v>0.64</v>
      </c>
      <c r="C14" s="54"/>
      <c r="D14" s="54"/>
      <c r="E14" s="54"/>
      <c r="F14" s="54"/>
      <c r="G14" s="54"/>
      <c r="I14" s="54" t="s">
        <v>50</v>
      </c>
      <c r="J14" s="55">
        <v>0.09</v>
      </c>
      <c r="K14" s="54"/>
      <c r="L14" s="54"/>
      <c r="M14" s="54"/>
      <c r="N14" s="54"/>
      <c r="O14" s="54"/>
    </row>
    <row r="15" spans="1:16">
      <c r="A15" s="54" t="s">
        <v>121</v>
      </c>
      <c r="B15" s="55">
        <v>0.72</v>
      </c>
      <c r="C15" s="54"/>
      <c r="D15" s="54"/>
      <c r="E15" s="54"/>
      <c r="F15" s="54"/>
      <c r="G15" s="54"/>
      <c r="I15" s="54" t="s">
        <v>46</v>
      </c>
      <c r="J15" s="55">
        <v>0.06</v>
      </c>
      <c r="K15" s="54"/>
      <c r="L15" s="54"/>
      <c r="M15" s="54"/>
      <c r="N15" s="54"/>
      <c r="O15" s="54"/>
    </row>
    <row r="16" spans="1:16">
      <c r="A16" s="54" t="s">
        <v>122</v>
      </c>
      <c r="B16" s="55">
        <v>0.15</v>
      </c>
      <c r="C16" s="54"/>
      <c r="D16" s="54"/>
      <c r="E16" s="54"/>
      <c r="F16" s="54"/>
      <c r="G16" s="54"/>
      <c r="I16" s="54" t="s">
        <v>123</v>
      </c>
      <c r="J16" s="54"/>
      <c r="K16" s="54"/>
      <c r="L16" s="54"/>
      <c r="M16" s="54"/>
      <c r="N16" s="54"/>
      <c r="O16" s="54"/>
    </row>
    <row r="17" spans="1:13">
      <c r="A17" s="56" t="s">
        <v>124</v>
      </c>
      <c r="B17" s="55">
        <v>0.36</v>
      </c>
      <c r="C17" s="54"/>
      <c r="D17" s="54"/>
      <c r="E17" s="54"/>
      <c r="F17" s="54"/>
      <c r="G17" s="54"/>
    </row>
    <row r="18" spans="1:13">
      <c r="A18" s="56"/>
      <c r="B18" s="55"/>
      <c r="C18" s="54"/>
      <c r="D18" s="54"/>
      <c r="E18" s="54"/>
      <c r="F18" s="54"/>
      <c r="G18" s="54"/>
    </row>
    <row r="19" spans="1:13">
      <c r="A19" s="54"/>
      <c r="B19" s="54"/>
      <c r="C19" s="54" t="s">
        <v>125</v>
      </c>
      <c r="D19" s="54"/>
      <c r="E19" s="54"/>
      <c r="F19" s="54" t="s">
        <v>126</v>
      </c>
      <c r="G19" s="54"/>
    </row>
    <row r="20" spans="1:13">
      <c r="A20" s="54"/>
      <c r="B20" s="54"/>
      <c r="C20" s="54" t="s">
        <v>127</v>
      </c>
      <c r="D20" s="54" t="s">
        <v>128</v>
      </c>
      <c r="E20" s="54"/>
      <c r="F20" s="54" t="s">
        <v>127</v>
      </c>
      <c r="G20" s="54"/>
      <c r="J20" t="s">
        <v>129</v>
      </c>
    </row>
    <row r="21" spans="1:13">
      <c r="A21" s="54" t="s">
        <v>130</v>
      </c>
      <c r="B21" s="54"/>
      <c r="C21" s="57">
        <f>107/12</f>
        <v>8.9166666666666661</v>
      </c>
      <c r="D21" s="58">
        <f>88/12</f>
        <v>7.333333333333333</v>
      </c>
      <c r="E21" s="58"/>
      <c r="F21" s="57">
        <f>114/12</f>
        <v>9.5</v>
      </c>
      <c r="G21" s="54"/>
      <c r="J21" s="59" t="s">
        <v>131</v>
      </c>
      <c r="K21" s="59" t="s">
        <v>132</v>
      </c>
      <c r="L21" s="59" t="s">
        <v>133</v>
      </c>
      <c r="M21" s="59" t="s">
        <v>134</v>
      </c>
    </row>
    <row r="22" spans="1:13">
      <c r="A22" s="54" t="s">
        <v>135</v>
      </c>
      <c r="B22" s="54"/>
      <c r="C22" s="57">
        <f>125/12</f>
        <v>10.416666666666666</v>
      </c>
      <c r="D22" s="58">
        <f>110/12</f>
        <v>9.1666666666666661</v>
      </c>
      <c r="E22" s="58"/>
      <c r="F22" s="57">
        <f>132.7/12</f>
        <v>11.058333333333332</v>
      </c>
      <c r="G22" s="54"/>
      <c r="J22" s="59">
        <v>9</v>
      </c>
      <c r="K22" s="59">
        <v>400</v>
      </c>
      <c r="L22" s="59">
        <v>1.2</v>
      </c>
      <c r="M22" s="59">
        <f>J22*K22/L22</f>
        <v>3000</v>
      </c>
    </row>
    <row r="23" spans="1:13">
      <c r="A23" s="54"/>
      <c r="B23" s="54"/>
      <c r="C23" s="57"/>
      <c r="D23" s="58"/>
      <c r="E23" s="58"/>
      <c r="F23" s="57"/>
      <c r="G23" s="54"/>
    </row>
    <row r="25" spans="1:13">
      <c r="A25" s="53" t="s">
        <v>136</v>
      </c>
      <c r="B25" s="53"/>
      <c r="C25" s="53"/>
      <c r="D25" s="53"/>
      <c r="E25" s="53"/>
    </row>
    <row r="26" spans="1:13">
      <c r="A26" s="54" t="s">
        <v>137</v>
      </c>
      <c r="B26" s="54"/>
      <c r="C26" s="54"/>
      <c r="D26" s="54"/>
      <c r="E26" s="54"/>
    </row>
    <row r="27" spans="1:13">
      <c r="A27" s="54"/>
      <c r="B27" s="54"/>
      <c r="C27" s="54"/>
      <c r="D27" s="54"/>
      <c r="E27" s="54"/>
    </row>
    <row r="29" spans="1:13">
      <c r="A29" s="430" t="s">
        <v>138</v>
      </c>
      <c r="B29" s="430"/>
      <c r="C29" s="430"/>
      <c r="D29" s="430"/>
      <c r="E29" s="430"/>
      <c r="F29" s="430"/>
    </row>
    <row r="30" spans="1:13">
      <c r="A30" s="54"/>
      <c r="B30" s="54"/>
      <c r="C30" s="60" t="s">
        <v>139</v>
      </c>
      <c r="D30" s="60" t="s">
        <v>140</v>
      </c>
      <c r="E30" s="60" t="s">
        <v>141</v>
      </c>
      <c r="F30" s="60" t="s">
        <v>142</v>
      </c>
    </row>
    <row r="31" spans="1:13">
      <c r="A31" s="54"/>
      <c r="B31" s="54" t="s">
        <v>143</v>
      </c>
      <c r="C31" s="57">
        <v>9.5694597574421163</v>
      </c>
      <c r="D31" s="57">
        <v>7.7284172661870505</v>
      </c>
      <c r="E31" s="57">
        <v>9.0646417445482861</v>
      </c>
      <c r="F31" s="58">
        <v>30.602739726027398</v>
      </c>
    </row>
    <row r="32" spans="1:13">
      <c r="A32" s="54"/>
      <c r="B32" s="54" t="s">
        <v>144</v>
      </c>
      <c r="C32" s="61">
        <v>8699.5</v>
      </c>
      <c r="D32" s="61">
        <v>6465.5</v>
      </c>
      <c r="E32" s="61">
        <v>5839.5</v>
      </c>
      <c r="F32" s="61">
        <v>2234</v>
      </c>
    </row>
    <row r="33" spans="1:8">
      <c r="A33" s="54"/>
      <c r="B33" s="54" t="s">
        <v>145</v>
      </c>
      <c r="C33" s="54">
        <v>908</v>
      </c>
      <c r="D33" s="54">
        <v>835</v>
      </c>
      <c r="E33" s="54">
        <v>643</v>
      </c>
      <c r="F33" s="54">
        <v>73</v>
      </c>
    </row>
    <row r="34" spans="1:8">
      <c r="A34" s="54"/>
      <c r="B34" s="54"/>
      <c r="C34" s="54"/>
      <c r="D34" s="54"/>
      <c r="E34" s="54"/>
      <c r="F34" s="54"/>
    </row>
    <row r="35" spans="1:8">
      <c r="A35" s="54"/>
      <c r="B35" s="54"/>
      <c r="C35" s="54"/>
      <c r="D35" s="54"/>
      <c r="E35" s="54"/>
      <c r="F35" s="54"/>
    </row>
    <row r="36" spans="1:8">
      <c r="A36" s="54"/>
      <c r="B36" s="54"/>
      <c r="C36" s="54"/>
      <c r="D36" s="54"/>
      <c r="E36" s="54"/>
      <c r="F36" s="54"/>
    </row>
    <row r="37" spans="1:8">
      <c r="A37" s="54"/>
      <c r="B37" s="54" t="s">
        <v>146</v>
      </c>
      <c r="C37" s="54">
        <v>0.01</v>
      </c>
      <c r="D37" s="54">
        <v>0.01</v>
      </c>
      <c r="E37" s="54">
        <v>5</v>
      </c>
      <c r="F37" s="54">
        <v>20.010000000000002</v>
      </c>
    </row>
    <row r="38" spans="1:8">
      <c r="A38" s="54"/>
      <c r="B38" s="54" t="s">
        <v>147</v>
      </c>
      <c r="C38" s="54">
        <v>1000</v>
      </c>
      <c r="D38" s="54">
        <v>20</v>
      </c>
      <c r="E38" s="54">
        <v>20</v>
      </c>
      <c r="F38" s="54">
        <v>11000</v>
      </c>
    </row>
    <row r="45" spans="1:8">
      <c r="A45" t="s">
        <v>148</v>
      </c>
    </row>
    <row r="46" spans="1:8">
      <c r="A46" t="s">
        <v>149</v>
      </c>
      <c r="B46" t="s">
        <v>150</v>
      </c>
      <c r="C46" t="s">
        <v>151</v>
      </c>
      <c r="D46" t="s">
        <v>152</v>
      </c>
      <c r="F46" t="s">
        <v>153</v>
      </c>
    </row>
    <row r="47" spans="1:8">
      <c r="A47" t="s">
        <v>154</v>
      </c>
      <c r="B47" t="s">
        <v>154</v>
      </c>
      <c r="C47" t="s">
        <v>155</v>
      </c>
      <c r="D47" t="s">
        <v>155</v>
      </c>
      <c r="F47" t="s">
        <v>156</v>
      </c>
      <c r="G47" t="s">
        <v>157</v>
      </c>
      <c r="H47" t="s">
        <v>158</v>
      </c>
    </row>
    <row r="48" spans="1:8">
      <c r="A48">
        <v>1.5</v>
      </c>
      <c r="B48">
        <v>1</v>
      </c>
      <c r="C48">
        <v>0.39</v>
      </c>
      <c r="D48">
        <v>0.39</v>
      </c>
      <c r="F48">
        <f t="shared" ref="F48:F70" si="0">B48</f>
        <v>1</v>
      </c>
      <c r="G48">
        <f t="shared" ref="G48:G70" si="1">F48*A48</f>
        <v>1.5</v>
      </c>
      <c r="H48" s="62">
        <f>SUM($G$48:G48)/$G$72</f>
        <v>9.219932264230966E-4</v>
      </c>
    </row>
    <row r="49" spans="1:9">
      <c r="A49">
        <v>2</v>
      </c>
      <c r="B49">
        <v>3</v>
      </c>
      <c r="C49">
        <v>1.18</v>
      </c>
      <c r="D49">
        <v>1.57</v>
      </c>
      <c r="F49">
        <f t="shared" si="0"/>
        <v>3</v>
      </c>
      <c r="G49">
        <f t="shared" si="1"/>
        <v>6</v>
      </c>
      <c r="H49" s="62">
        <f>SUM($G$48:G49)/$G$72</f>
        <v>4.6099661321154835E-3</v>
      </c>
    </row>
    <row r="50" spans="1:9">
      <c r="A50">
        <v>2.5</v>
      </c>
      <c r="B50">
        <v>1</v>
      </c>
      <c r="C50">
        <v>0.39</v>
      </c>
      <c r="D50">
        <v>1.97</v>
      </c>
      <c r="F50">
        <f t="shared" si="0"/>
        <v>1</v>
      </c>
      <c r="G50">
        <f t="shared" si="1"/>
        <v>2.5</v>
      </c>
      <c r="H50" s="62">
        <f>SUM($G$48:G50)/$G$72</f>
        <v>6.1466215094873105E-3</v>
      </c>
    </row>
    <row r="51" spans="1:9">
      <c r="A51">
        <v>3</v>
      </c>
      <c r="B51">
        <v>38</v>
      </c>
      <c r="C51">
        <v>14.96</v>
      </c>
      <c r="D51">
        <v>16.93</v>
      </c>
      <c r="F51">
        <f t="shared" si="0"/>
        <v>38</v>
      </c>
      <c r="G51">
        <f t="shared" si="1"/>
        <v>114</v>
      </c>
      <c r="H51" s="62">
        <f>SUM($G$48:G51)/$G$72</f>
        <v>7.6218106717642661E-2</v>
      </c>
    </row>
    <row r="52" spans="1:9">
      <c r="A52">
        <v>3.5</v>
      </c>
      <c r="B52">
        <v>1</v>
      </c>
      <c r="C52">
        <v>0.39</v>
      </c>
      <c r="D52">
        <v>17.32</v>
      </c>
      <c r="F52">
        <f t="shared" si="0"/>
        <v>1</v>
      </c>
      <c r="G52">
        <f t="shared" si="1"/>
        <v>3.5</v>
      </c>
      <c r="H52" s="62">
        <f>SUM($G$48:G52)/$G$72</f>
        <v>7.8369424245963215E-2</v>
      </c>
    </row>
    <row r="53" spans="1:9">
      <c r="A53">
        <v>4</v>
      </c>
      <c r="B53">
        <v>31</v>
      </c>
      <c r="C53">
        <v>12.2</v>
      </c>
      <c r="D53">
        <v>29.53</v>
      </c>
      <c r="F53">
        <f t="shared" si="0"/>
        <v>31</v>
      </c>
      <c r="G53">
        <f t="shared" si="1"/>
        <v>124</v>
      </c>
      <c r="H53" s="62">
        <f>SUM($G$48:G53)/$G$72</f>
        <v>0.15458753096360586</v>
      </c>
    </row>
    <row r="54" spans="1:9">
      <c r="A54">
        <v>5</v>
      </c>
      <c r="B54">
        <v>52</v>
      </c>
      <c r="C54">
        <v>20.47</v>
      </c>
      <c r="D54">
        <v>50</v>
      </c>
      <c r="F54">
        <f t="shared" si="0"/>
        <v>52</v>
      </c>
      <c r="G54">
        <f t="shared" si="1"/>
        <v>260</v>
      </c>
      <c r="H54" s="62">
        <f>SUM($G$48:G54)/$G$72</f>
        <v>0.31439969021027597</v>
      </c>
    </row>
    <row r="55" spans="1:9">
      <c r="A55">
        <v>6</v>
      </c>
      <c r="B55">
        <v>12</v>
      </c>
      <c r="C55">
        <v>4.72</v>
      </c>
      <c r="D55">
        <v>54.72</v>
      </c>
      <c r="F55">
        <f t="shared" si="0"/>
        <v>12</v>
      </c>
      <c r="G55">
        <f t="shared" si="1"/>
        <v>72</v>
      </c>
      <c r="H55" s="62">
        <f>SUM($G$48:G55)/$G$72</f>
        <v>0.35865536507858459</v>
      </c>
    </row>
    <row r="56" spans="1:9">
      <c r="A56">
        <v>6.25</v>
      </c>
      <c r="B56">
        <v>7</v>
      </c>
      <c r="C56">
        <v>2.76</v>
      </c>
      <c r="D56">
        <v>57.48</v>
      </c>
      <c r="F56">
        <f t="shared" si="0"/>
        <v>7</v>
      </c>
      <c r="G56">
        <f t="shared" si="1"/>
        <v>43.75</v>
      </c>
      <c r="H56" s="62">
        <f>SUM($G$48:G56)/$G$72</f>
        <v>0.38554683418259156</v>
      </c>
    </row>
    <row r="57" spans="1:9">
      <c r="A57">
        <v>6.26</v>
      </c>
      <c r="B57">
        <v>1</v>
      </c>
      <c r="C57">
        <v>0.39</v>
      </c>
      <c r="D57">
        <v>57.87</v>
      </c>
      <c r="F57">
        <f t="shared" si="0"/>
        <v>1</v>
      </c>
      <c r="G57">
        <f t="shared" si="1"/>
        <v>6.26</v>
      </c>
      <c r="H57" s="62">
        <f>SUM($G$48:G57)/$G$72</f>
        <v>0.3893946192475306</v>
      </c>
    </row>
    <row r="58" spans="1:9">
      <c r="A58">
        <v>6.5</v>
      </c>
      <c r="B58">
        <v>1</v>
      </c>
      <c r="C58">
        <v>0.39</v>
      </c>
      <c r="D58">
        <v>58.27</v>
      </c>
      <c r="F58">
        <f t="shared" si="0"/>
        <v>1</v>
      </c>
      <c r="G58">
        <f t="shared" si="1"/>
        <v>6.5</v>
      </c>
      <c r="H58" s="62">
        <f>SUM($G$48:G58)/$G$72</f>
        <v>0.39338992322869737</v>
      </c>
    </row>
    <row r="59" spans="1:9">
      <c r="A59">
        <v>7</v>
      </c>
      <c r="B59">
        <v>12</v>
      </c>
      <c r="C59">
        <v>4.72</v>
      </c>
      <c r="D59">
        <v>62.99</v>
      </c>
      <c r="F59">
        <f t="shared" si="0"/>
        <v>12</v>
      </c>
      <c r="G59">
        <f t="shared" si="1"/>
        <v>84</v>
      </c>
      <c r="H59" s="62">
        <f>SUM($G$48:G59)/$G$72</f>
        <v>0.44502154390839077</v>
      </c>
    </row>
    <row r="60" spans="1:9">
      <c r="A60">
        <v>7.4</v>
      </c>
      <c r="B60">
        <v>1</v>
      </c>
      <c r="C60">
        <v>0.39</v>
      </c>
      <c r="D60">
        <v>63.39</v>
      </c>
      <c r="F60">
        <f t="shared" si="0"/>
        <v>1</v>
      </c>
      <c r="G60">
        <f t="shared" si="1"/>
        <v>7.4</v>
      </c>
      <c r="H60" s="62">
        <f>SUM($G$48:G60)/$G$72</f>
        <v>0.44957004382541138</v>
      </c>
      <c r="I60" t="s">
        <v>159</v>
      </c>
    </row>
    <row r="61" spans="1:9">
      <c r="A61">
        <v>7.5</v>
      </c>
      <c r="B61">
        <v>17</v>
      </c>
      <c r="C61">
        <v>6.69</v>
      </c>
      <c r="D61">
        <v>70.08</v>
      </c>
      <c r="F61">
        <f t="shared" si="0"/>
        <v>17</v>
      </c>
      <c r="G61">
        <f t="shared" si="1"/>
        <v>127.5</v>
      </c>
      <c r="H61" s="62">
        <f>SUM($G$48:G61)/$G$72</f>
        <v>0.5279394680713746</v>
      </c>
      <c r="I61" t="s">
        <v>160</v>
      </c>
    </row>
    <row r="62" spans="1:9">
      <c r="A62">
        <v>8</v>
      </c>
      <c r="B62">
        <v>1</v>
      </c>
      <c r="C62">
        <v>0.39</v>
      </c>
      <c r="D62">
        <v>70.47</v>
      </c>
      <c r="F62">
        <f t="shared" si="0"/>
        <v>1</v>
      </c>
      <c r="G62">
        <f t="shared" si="1"/>
        <v>8</v>
      </c>
      <c r="H62" s="62">
        <f>SUM($G$48:G62)/$G$72</f>
        <v>0.53285676527896442</v>
      </c>
      <c r="I62" t="s">
        <v>161</v>
      </c>
    </row>
    <row r="63" spans="1:9">
      <c r="A63">
        <v>8.5</v>
      </c>
      <c r="B63">
        <v>10</v>
      </c>
      <c r="C63">
        <v>3.94</v>
      </c>
      <c r="D63">
        <v>74.41</v>
      </c>
      <c r="F63">
        <f t="shared" si="0"/>
        <v>10</v>
      </c>
      <c r="G63">
        <f t="shared" si="1"/>
        <v>85</v>
      </c>
      <c r="H63" s="62">
        <f>SUM($G$48:G63)/$G$72</f>
        <v>0.58510304810960656</v>
      </c>
    </row>
    <row r="64" spans="1:9">
      <c r="A64">
        <v>10</v>
      </c>
      <c r="B64">
        <v>22</v>
      </c>
      <c r="C64">
        <v>8.66</v>
      </c>
      <c r="D64">
        <v>83.07</v>
      </c>
      <c r="F64">
        <f t="shared" si="0"/>
        <v>22</v>
      </c>
      <c r="G64">
        <f t="shared" si="1"/>
        <v>220</v>
      </c>
      <c r="H64" s="62">
        <f>SUM($G$48:G64)/$G$72</f>
        <v>0.72032872131832737</v>
      </c>
      <c r="I64" t="s">
        <v>162</v>
      </c>
    </row>
    <row r="65" spans="1:10">
      <c r="A65">
        <v>12</v>
      </c>
      <c r="B65">
        <v>1</v>
      </c>
      <c r="C65">
        <v>0.39</v>
      </c>
      <c r="D65">
        <v>83.46</v>
      </c>
      <c r="F65">
        <f t="shared" si="0"/>
        <v>1</v>
      </c>
      <c r="G65">
        <f t="shared" si="1"/>
        <v>12</v>
      </c>
      <c r="H65" s="62">
        <f>SUM($G$48:G65)/$G$72</f>
        <v>0.72770466712971216</v>
      </c>
    </row>
    <row r="66" spans="1:10">
      <c r="A66">
        <v>12.5</v>
      </c>
      <c r="B66">
        <v>5</v>
      </c>
      <c r="C66">
        <v>1.97</v>
      </c>
      <c r="D66">
        <v>85.43</v>
      </c>
      <c r="F66">
        <f t="shared" si="0"/>
        <v>5</v>
      </c>
      <c r="G66">
        <f t="shared" si="1"/>
        <v>62.5</v>
      </c>
      <c r="H66" s="62">
        <f>SUM($G$48:G66)/$G$72</f>
        <v>0.76612105156400778</v>
      </c>
    </row>
    <row r="67" spans="1:10">
      <c r="A67">
        <v>13</v>
      </c>
      <c r="B67">
        <v>1</v>
      </c>
      <c r="C67">
        <v>0.39</v>
      </c>
      <c r="D67">
        <v>85.83</v>
      </c>
      <c r="F67">
        <f t="shared" si="0"/>
        <v>1</v>
      </c>
      <c r="G67">
        <f t="shared" si="1"/>
        <v>13</v>
      </c>
      <c r="H67" s="62">
        <f>SUM($G$48:G67)/$G$72</f>
        <v>0.77411165952634131</v>
      </c>
    </row>
    <row r="68" spans="1:10">
      <c r="A68">
        <v>15</v>
      </c>
      <c r="B68">
        <v>13</v>
      </c>
      <c r="C68">
        <v>5.12</v>
      </c>
      <c r="D68">
        <v>90.94</v>
      </c>
      <c r="F68">
        <f t="shared" si="0"/>
        <v>13</v>
      </c>
      <c r="G68">
        <f t="shared" si="1"/>
        <v>195</v>
      </c>
      <c r="H68" s="62">
        <f>SUM($G$48:G68)/$G$72</f>
        <v>0.89397077896134391</v>
      </c>
    </row>
    <row r="69" spans="1:10">
      <c r="A69">
        <v>17.5</v>
      </c>
      <c r="B69">
        <v>3</v>
      </c>
      <c r="C69">
        <v>1.18</v>
      </c>
      <c r="D69">
        <v>92.13</v>
      </c>
      <c r="F69">
        <f t="shared" si="0"/>
        <v>3</v>
      </c>
      <c r="G69">
        <f t="shared" si="1"/>
        <v>52.5</v>
      </c>
      <c r="H69" s="62">
        <f>SUM($G$48:G69)/$G$72</f>
        <v>0.92624054188615224</v>
      </c>
    </row>
    <row r="70" spans="1:10">
      <c r="A70">
        <v>20</v>
      </c>
      <c r="B70">
        <v>6</v>
      </c>
      <c r="C70">
        <v>2.36</v>
      </c>
      <c r="D70">
        <v>94.49</v>
      </c>
      <c r="F70">
        <f t="shared" si="0"/>
        <v>6</v>
      </c>
      <c r="G70">
        <f t="shared" si="1"/>
        <v>120</v>
      </c>
      <c r="H70" s="62">
        <f>SUM($G$48:G70)/$G$72</f>
        <v>1</v>
      </c>
    </row>
    <row r="71" spans="1:10">
      <c r="A71">
        <v>25</v>
      </c>
      <c r="B71">
        <v>1</v>
      </c>
      <c r="C71">
        <v>0.39</v>
      </c>
      <c r="D71">
        <v>94.88</v>
      </c>
    </row>
    <row r="72" spans="1:10">
      <c r="A72">
        <v>27</v>
      </c>
      <c r="B72">
        <v>2</v>
      </c>
      <c r="C72">
        <v>0.79</v>
      </c>
      <c r="D72">
        <v>95.67</v>
      </c>
      <c r="E72" t="s">
        <v>163</v>
      </c>
      <c r="F72">
        <f>SUM(F48:F70)</f>
        <v>240</v>
      </c>
      <c r="G72">
        <f>SUM(G48:G70)</f>
        <v>1626.9099999999999</v>
      </c>
      <c r="J72">
        <f>SUM(G64:G70)</f>
        <v>675</v>
      </c>
    </row>
    <row r="73" spans="1:10">
      <c r="A73">
        <v>33</v>
      </c>
      <c r="B73">
        <v>1</v>
      </c>
      <c r="C73">
        <v>0.39</v>
      </c>
      <c r="D73">
        <v>96.06</v>
      </c>
      <c r="G73">
        <f>G72/F72</f>
        <v>6.7787916666666659</v>
      </c>
      <c r="J73">
        <f>J72/G72</f>
        <v>0.41489695189039349</v>
      </c>
    </row>
    <row r="74" spans="1:10">
      <c r="A74">
        <v>33.6</v>
      </c>
      <c r="B74">
        <v>1</v>
      </c>
      <c r="C74">
        <v>0.39</v>
      </c>
      <c r="D74">
        <v>96.46</v>
      </c>
    </row>
    <row r="75" spans="1:10">
      <c r="A75">
        <v>40</v>
      </c>
      <c r="B75">
        <v>8</v>
      </c>
      <c r="C75">
        <v>3.15</v>
      </c>
      <c r="D75">
        <v>99.61</v>
      </c>
    </row>
    <row r="76" spans="1:10">
      <c r="A76">
        <v>50</v>
      </c>
      <c r="B76">
        <v>1</v>
      </c>
      <c r="C76">
        <v>0.39</v>
      </c>
      <c r="D76">
        <v>100</v>
      </c>
    </row>
    <row r="77" spans="1:10">
      <c r="A77" t="s">
        <v>154</v>
      </c>
      <c r="B77" t="s">
        <v>154</v>
      </c>
      <c r="C77" t="s">
        <v>155</v>
      </c>
      <c r="D77" t="s">
        <v>155</v>
      </c>
    </row>
    <row r="78" spans="1:10">
      <c r="A78" t="s">
        <v>164</v>
      </c>
      <c r="B78">
        <v>254</v>
      </c>
      <c r="C78">
        <v>100</v>
      </c>
    </row>
  </sheetData>
  <mergeCells count="1">
    <mergeCell ref="A29:F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18"/>
  <dimension ref="B3:W27"/>
  <sheetViews>
    <sheetView workbookViewId="0">
      <selection activeCell="W8" sqref="W8"/>
    </sheetView>
  </sheetViews>
  <sheetFormatPr defaultRowHeight="12.75"/>
  <cols>
    <col min="21" max="21" width="15" bestFit="1" customWidth="1"/>
    <col min="22" max="22" width="17" bestFit="1" customWidth="1"/>
  </cols>
  <sheetData>
    <row r="3" spans="11:23">
      <c r="K3" t="s">
        <v>703</v>
      </c>
      <c r="M3" t="s">
        <v>702</v>
      </c>
      <c r="Q3" t="s">
        <v>701</v>
      </c>
    </row>
    <row r="4" spans="11:23">
      <c r="M4" t="s">
        <v>26</v>
      </c>
      <c r="N4" t="s">
        <v>27</v>
      </c>
      <c r="O4" t="s">
        <v>28</v>
      </c>
      <c r="Q4" t="s">
        <v>26</v>
      </c>
      <c r="R4" t="s">
        <v>27</v>
      </c>
      <c r="S4" t="s">
        <v>28</v>
      </c>
      <c r="U4" t="s">
        <v>346</v>
      </c>
    </row>
    <row r="5" spans="11:23">
      <c r="L5" t="s">
        <v>699</v>
      </c>
      <c r="M5">
        <v>750</v>
      </c>
      <c r="N5">
        <v>400</v>
      </c>
      <c r="O5" s="50">
        <f>M5/N5</f>
        <v>1.875</v>
      </c>
      <c r="Q5">
        <v>500</v>
      </c>
      <c r="R5">
        <v>400</v>
      </c>
      <c r="S5" s="50">
        <f>Q5/R5</f>
        <v>1.25</v>
      </c>
      <c r="U5" s="5">
        <v>300000000</v>
      </c>
      <c r="V5" s="302">
        <f>U5*S5</f>
        <v>375000000</v>
      </c>
      <c r="W5" s="323">
        <f>V5/8760000</f>
        <v>42.80821917808219</v>
      </c>
    </row>
    <row r="6" spans="11:23">
      <c r="L6" t="s">
        <v>700</v>
      </c>
      <c r="M6">
        <v>1125</v>
      </c>
      <c r="N6">
        <v>400</v>
      </c>
      <c r="O6" s="50">
        <f>M6/N6</f>
        <v>2.8125</v>
      </c>
      <c r="Q6">
        <v>750</v>
      </c>
      <c r="R6">
        <v>400</v>
      </c>
      <c r="S6" s="50">
        <f>Q6/R6</f>
        <v>1.875</v>
      </c>
      <c r="U6" s="5">
        <v>300000001</v>
      </c>
      <c r="V6" s="302">
        <f>U6*S6</f>
        <v>562500001.875</v>
      </c>
      <c r="W6" s="323">
        <f>V6/8760000</f>
        <v>64.21232898116439</v>
      </c>
    </row>
    <row r="11" spans="11:23">
      <c r="K11" t="s">
        <v>704</v>
      </c>
      <c r="M11" t="s">
        <v>20</v>
      </c>
      <c r="N11" t="s">
        <v>21</v>
      </c>
      <c r="O11" t="s">
        <v>26</v>
      </c>
    </row>
    <row r="12" spans="11:23">
      <c r="M12">
        <v>10</v>
      </c>
      <c r="N12" s="5">
        <v>8920.9500000000007</v>
      </c>
      <c r="O12" s="50">
        <v>892.09500000000003</v>
      </c>
    </row>
    <row r="13" spans="11:23">
      <c r="M13">
        <v>15</v>
      </c>
      <c r="N13" s="5">
        <v>10952</v>
      </c>
      <c r="O13" s="50">
        <v>730.13333333333333</v>
      </c>
    </row>
    <row r="14" spans="11:23">
      <c r="M14">
        <v>20</v>
      </c>
      <c r="N14" s="5">
        <v>27967</v>
      </c>
      <c r="O14" s="50">
        <v>1398.35</v>
      </c>
    </row>
    <row r="15" spans="11:23">
      <c r="M15">
        <v>25</v>
      </c>
      <c r="N15" s="5">
        <v>31930.76923076923</v>
      </c>
      <c r="O15" s="50">
        <v>1277.2307692307693</v>
      </c>
    </row>
    <row r="18" spans="2:19">
      <c r="P18" t="s">
        <v>717</v>
      </c>
    </row>
    <row r="19" spans="2:19">
      <c r="P19" t="s">
        <v>718</v>
      </c>
    </row>
    <row r="20" spans="2:19">
      <c r="P20" s="304" t="s">
        <v>714</v>
      </c>
      <c r="R20" s="305"/>
      <c r="S20" s="306">
        <v>0.53503399829497056</v>
      </c>
    </row>
    <row r="21" spans="2:19">
      <c r="P21" s="304" t="s">
        <v>715</v>
      </c>
      <c r="R21" s="305"/>
      <c r="S21" s="305">
        <v>0.59720000000000006</v>
      </c>
    </row>
    <row r="22" spans="2:19">
      <c r="P22" s="304" t="s">
        <v>716</v>
      </c>
      <c r="R22" s="305"/>
      <c r="S22" s="305">
        <v>0.6472</v>
      </c>
    </row>
    <row r="27" spans="2:19">
      <c r="B27" t="s">
        <v>698</v>
      </c>
    </row>
  </sheetData>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sheetPr codeName="Sheet1"/>
  <dimension ref="B2:E18"/>
  <sheetViews>
    <sheetView workbookViewId="0">
      <selection activeCell="C19" sqref="C19"/>
    </sheetView>
  </sheetViews>
  <sheetFormatPr defaultRowHeight="12.75"/>
  <cols>
    <col min="3" max="3" width="40.85546875" customWidth="1"/>
    <col min="4" max="4" width="10.140625" customWidth="1"/>
    <col min="5" max="5" width="45.7109375" customWidth="1"/>
  </cols>
  <sheetData>
    <row r="2" spans="2:5">
      <c r="B2" s="63" t="s">
        <v>64</v>
      </c>
      <c r="C2" s="63" t="s">
        <v>423</v>
      </c>
      <c r="D2" s="63" t="s">
        <v>424</v>
      </c>
      <c r="E2" s="192" t="s">
        <v>425</v>
      </c>
    </row>
    <row r="3" spans="2:5">
      <c r="B3" s="63">
        <v>1</v>
      </c>
      <c r="C3" s="63" t="s">
        <v>382</v>
      </c>
      <c r="D3" s="63"/>
      <c r="E3" s="63"/>
    </row>
    <row r="4" spans="2:5">
      <c r="B4" s="63">
        <f>B3+1</f>
        <v>2</v>
      </c>
      <c r="C4" s="63" t="s">
        <v>383</v>
      </c>
      <c r="D4" s="63"/>
      <c r="E4" s="63" t="s">
        <v>721</v>
      </c>
    </row>
    <row r="5" spans="2:5">
      <c r="B5" s="63">
        <f t="shared" ref="B5:B11" si="0">B4+1</f>
        <v>3</v>
      </c>
      <c r="C5" s="63" t="s">
        <v>384</v>
      </c>
      <c r="D5" s="63"/>
      <c r="E5" s="63" t="s">
        <v>722</v>
      </c>
    </row>
    <row r="6" spans="2:5">
      <c r="B6" s="63">
        <f t="shared" si="0"/>
        <v>4</v>
      </c>
      <c r="C6" s="63" t="s">
        <v>388</v>
      </c>
      <c r="D6" s="63"/>
      <c r="E6" s="63" t="s">
        <v>723</v>
      </c>
    </row>
    <row r="7" spans="2:5">
      <c r="B7" s="63">
        <f t="shared" si="0"/>
        <v>5</v>
      </c>
      <c r="C7" s="63" t="s">
        <v>389</v>
      </c>
      <c r="D7" s="63"/>
      <c r="E7" s="63"/>
    </row>
    <row r="8" spans="2:5">
      <c r="B8" s="63">
        <f t="shared" si="0"/>
        <v>6</v>
      </c>
      <c r="C8" s="63" t="s">
        <v>420</v>
      </c>
      <c r="D8" s="63"/>
      <c r="E8" s="63" t="s">
        <v>104</v>
      </c>
    </row>
    <row r="9" spans="2:5">
      <c r="B9" s="63">
        <f t="shared" si="0"/>
        <v>7</v>
      </c>
      <c r="C9" s="63" t="s">
        <v>421</v>
      </c>
      <c r="D9" s="63"/>
      <c r="E9" s="63" t="s">
        <v>426</v>
      </c>
    </row>
    <row r="10" spans="2:5">
      <c r="B10" s="63">
        <f t="shared" si="0"/>
        <v>8</v>
      </c>
      <c r="C10" s="63" t="s">
        <v>422</v>
      </c>
      <c r="D10" s="63"/>
      <c r="E10" s="63"/>
    </row>
    <row r="11" spans="2:5">
      <c r="B11" s="63">
        <f t="shared" si="0"/>
        <v>9</v>
      </c>
      <c r="C11" s="63" t="s">
        <v>724</v>
      </c>
      <c r="D11" s="63"/>
      <c r="E11" s="63"/>
    </row>
    <row r="17" spans="3:5">
      <c r="C17" t="s">
        <v>771</v>
      </c>
    </row>
    <row r="18" spans="3:5">
      <c r="C18" t="s">
        <v>772</v>
      </c>
      <c r="E18" t="s">
        <v>773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9"/>
  <dimension ref="A1:CE63"/>
  <sheetViews>
    <sheetView topLeftCell="X15" workbookViewId="0">
      <selection activeCell="AB48" sqref="AB48"/>
    </sheetView>
  </sheetViews>
  <sheetFormatPr defaultRowHeight="12.75"/>
  <sheetData>
    <row r="1" spans="1:56">
      <c r="A1" t="s">
        <v>783</v>
      </c>
      <c r="B1" t="s">
        <v>179</v>
      </c>
      <c r="C1" t="s">
        <v>332</v>
      </c>
      <c r="D1" t="s">
        <v>750</v>
      </c>
      <c r="E1" t="s">
        <v>784</v>
      </c>
      <c r="F1">
        <v>2.324937496695904E-5</v>
      </c>
      <c r="G1">
        <v>0.12367585487615354</v>
      </c>
      <c r="H1">
        <v>68.450215737357013</v>
      </c>
      <c r="J1" t="s">
        <v>502</v>
      </c>
      <c r="K1">
        <v>2.5233081902301453E-2</v>
      </c>
      <c r="L1">
        <v>3.9545070458057392E-2</v>
      </c>
      <c r="M1">
        <v>7.8852870493366464E-2</v>
      </c>
      <c r="N1">
        <v>0.1375785457933012</v>
      </c>
      <c r="O1">
        <v>0.21336903802032192</v>
      </c>
      <c r="P1">
        <v>0.29782050326876519</v>
      </c>
      <c r="Q1">
        <v>0.37790714405685688</v>
      </c>
      <c r="R1">
        <v>0.43956899306213409</v>
      </c>
      <c r="S1">
        <v>0.47196184655086648</v>
      </c>
      <c r="T1">
        <v>0.47054596101121399</v>
      </c>
      <c r="U1">
        <v>0.43785870158630208</v>
      </c>
      <c r="V1">
        <v>0.38197698479634984</v>
      </c>
      <c r="W1">
        <v>0.31362557375220274</v>
      </c>
      <c r="X1">
        <v>0.24319920880184726</v>
      </c>
      <c r="Y1">
        <v>0.17866181876085233</v>
      </c>
      <c r="Z1">
        <v>0.12468808331319836</v>
      </c>
      <c r="AA1">
        <v>8.2876012708839167E-2</v>
      </c>
      <c r="AB1">
        <v>5.2581062972271768E-2</v>
      </c>
      <c r="AC1">
        <v>3.1909846824651381E-2</v>
      </c>
      <c r="AD1">
        <v>1.8558235082435957E-2</v>
      </c>
      <c r="AE1">
        <v>4.3081640490284805</v>
      </c>
      <c r="AF1">
        <v>7.7551110544897672E-3</v>
      </c>
      <c r="AG1">
        <v>6.9731028267153846E-3</v>
      </c>
      <c r="AH1">
        <v>8.0242487400857473E-3</v>
      </c>
      <c r="AI1">
        <v>7.4651268008822909E-3</v>
      </c>
      <c r="AJ1">
        <v>7.6214523345385973E-3</v>
      </c>
      <c r="AK1">
        <v>7.5442061298168521E-3</v>
      </c>
      <c r="AL1">
        <v>7.167124604220719E-3</v>
      </c>
      <c r="AM1">
        <v>7.4678716744599229E-3</v>
      </c>
      <c r="AN1">
        <v>6.9773792576091186E-3</v>
      </c>
      <c r="AO1">
        <v>7.9555381934164476E-3</v>
      </c>
      <c r="AP1">
        <v>7.040218765811462E-3</v>
      </c>
      <c r="AQ1">
        <v>7.6649578174699702E-3</v>
      </c>
      <c r="AS1">
        <v>3.2925074602524764E-3</v>
      </c>
      <c r="AT1">
        <v>2.8288257730744999E-3</v>
      </c>
      <c r="AU1">
        <v>2.7134394828996775E-3</v>
      </c>
      <c r="AV1">
        <v>2.8332831999852127E-3</v>
      </c>
      <c r="AW1">
        <v>2.7798306974915212E-3</v>
      </c>
      <c r="AX1">
        <v>2.4392243487610533E-3</v>
      </c>
      <c r="AY1">
        <v>2.8639594495536063E-3</v>
      </c>
      <c r="AZ1">
        <v>2.3487364379229988E-3</v>
      </c>
      <c r="BA1">
        <v>2.8915493249584679E-3</v>
      </c>
      <c r="BB1">
        <v>2.597062354352862E-3</v>
      </c>
      <c r="BC1">
        <v>3.1159411563331041E-3</v>
      </c>
      <c r="BD1">
        <v>3.3151569910517729E-3</v>
      </c>
    </row>
    <row r="2" spans="1:56">
      <c r="A2" t="s">
        <v>783</v>
      </c>
      <c r="B2" t="s">
        <v>179</v>
      </c>
      <c r="C2" t="s">
        <v>332</v>
      </c>
      <c r="D2" t="s">
        <v>750</v>
      </c>
      <c r="E2" t="s">
        <v>784</v>
      </c>
      <c r="F2">
        <v>7.8037321595196869E-5</v>
      </c>
      <c r="G2">
        <v>0.41512223336099691</v>
      </c>
      <c r="H2">
        <v>75.005858154729395</v>
      </c>
      <c r="J2" t="s">
        <v>503</v>
      </c>
      <c r="K2">
        <v>4.2502212805600174E-2</v>
      </c>
      <c r="L2">
        <v>6.6609104925368243E-2</v>
      </c>
      <c r="M2">
        <v>0.13281855522118433</v>
      </c>
      <c r="N2">
        <v>0.23173517422216144</v>
      </c>
      <c r="O2">
        <v>0.3593955068658809</v>
      </c>
      <c r="P2">
        <v>0.50164424848339639</v>
      </c>
      <c r="Q2">
        <v>0.63654094730284072</v>
      </c>
      <c r="R2">
        <v>0.74040321187108771</v>
      </c>
      <c r="S2">
        <v>0.79496523317666423</v>
      </c>
      <c r="T2">
        <v>0.79258033747713441</v>
      </c>
      <c r="U2">
        <v>0.73752242336705676</v>
      </c>
      <c r="V2">
        <v>0.64339612408483549</v>
      </c>
      <c r="W2">
        <v>0.52826606470447823</v>
      </c>
      <c r="X2">
        <v>0.4096409850636174</v>
      </c>
      <c r="Y2">
        <v>0.30093520365884152</v>
      </c>
      <c r="Z2">
        <v>0.21002267863350466</v>
      </c>
      <c r="AA2">
        <v>0.13959507373173607</v>
      </c>
      <c r="AB2">
        <v>8.8566729052162507E-2</v>
      </c>
      <c r="AC2">
        <v>5.3748452352613274E-2</v>
      </c>
      <c r="AD2">
        <v>3.1259204080739199E-2</v>
      </c>
      <c r="AE2">
        <v>7.2566048777634222</v>
      </c>
      <c r="AF2">
        <v>2.6030295275711723E-2</v>
      </c>
      <c r="AG2">
        <v>2.3405457935024215E-2</v>
      </c>
      <c r="AH2">
        <v>2.6933665114861751E-2</v>
      </c>
      <c r="AI2">
        <v>2.5056953218625461E-2</v>
      </c>
      <c r="AJ2">
        <v>2.5581665214574383E-2</v>
      </c>
      <c r="AK2">
        <v>2.5322385688632456E-2</v>
      </c>
      <c r="AL2">
        <v>2.4056698661674848E-2</v>
      </c>
      <c r="AM2">
        <v>2.5066166480591436E-2</v>
      </c>
      <c r="AN2">
        <v>2.3419811921460764E-2</v>
      </c>
      <c r="AO2">
        <v>2.6703035816868399E-2</v>
      </c>
      <c r="AP2">
        <v>2.3630734878204305E-2</v>
      </c>
      <c r="AQ2">
        <v>2.5727692854779539E-2</v>
      </c>
      <c r="AS2">
        <v>1.1051413807702646E-2</v>
      </c>
      <c r="AT2">
        <v>9.4950503789423026E-3</v>
      </c>
      <c r="AU2">
        <v>9.1077523527869336E-3</v>
      </c>
      <c r="AV2">
        <v>9.5100118846951562E-3</v>
      </c>
      <c r="AW2">
        <v>9.3305967334019989E-3</v>
      </c>
      <c r="AX2">
        <v>8.1873398840880043E-3</v>
      </c>
      <c r="AY2">
        <v>9.6129777646943113E-3</v>
      </c>
      <c r="AZ2">
        <v>7.8836141190477757E-3</v>
      </c>
      <c r="BA2">
        <v>9.705584124340555E-3</v>
      </c>
      <c r="BB2">
        <v>8.7171285437752932E-3</v>
      </c>
      <c r="BC2">
        <v>1.0458762974662486E-2</v>
      </c>
      <c r="BD2">
        <v>1.1127437731850152E-2</v>
      </c>
    </row>
    <row r="3" spans="1:56">
      <c r="A3" t="s">
        <v>783</v>
      </c>
      <c r="B3" t="s">
        <v>179</v>
      </c>
      <c r="C3" t="s">
        <v>332</v>
      </c>
      <c r="D3" t="s">
        <v>750</v>
      </c>
      <c r="E3" t="s">
        <v>784</v>
      </c>
      <c r="F3">
        <v>5.3555736501840944E-5</v>
      </c>
      <c r="G3">
        <v>0.2848915940665197</v>
      </c>
      <c r="H3">
        <v>68.323547872670318</v>
      </c>
      <c r="J3" t="s">
        <v>504</v>
      </c>
      <c r="K3">
        <v>2.8152302704647615E-2</v>
      </c>
      <c r="L3">
        <v>4.4120048368340978E-2</v>
      </c>
      <c r="M3">
        <v>8.7975376446471951E-2</v>
      </c>
      <c r="N3">
        <v>0.15349503805498196</v>
      </c>
      <c r="O3">
        <v>0.23805374901904863</v>
      </c>
      <c r="P3">
        <v>0.33227542288078793</v>
      </c>
      <c r="Q3">
        <v>0.42162730477909449</v>
      </c>
      <c r="R3">
        <v>0.49042282667555009</v>
      </c>
      <c r="S3">
        <v>0.52656321651825577</v>
      </c>
      <c r="T3">
        <v>0.52498352686870098</v>
      </c>
      <c r="U3">
        <v>0.48851467120222242</v>
      </c>
      <c r="V3">
        <v>0.42616798629003821</v>
      </c>
      <c r="W3">
        <v>0.34990898544919707</v>
      </c>
      <c r="X3">
        <v>0.27133497882777213</v>
      </c>
      <c r="Y3">
        <v>0.19933124391989757</v>
      </c>
      <c r="Z3">
        <v>0.139113275131696</v>
      </c>
      <c r="AA3">
        <v>9.2463956870867267E-2</v>
      </c>
      <c r="AB3">
        <v>5.8664177727434895E-2</v>
      </c>
      <c r="AC3">
        <v>3.5601504031284779E-2</v>
      </c>
      <c r="AD3">
        <v>2.0705241386193729E-2</v>
      </c>
      <c r="AE3">
        <v>4.8065764966453832</v>
      </c>
      <c r="AF3">
        <v>1.7864165585828307E-2</v>
      </c>
      <c r="AG3">
        <v>1.6062782682052364E-2</v>
      </c>
      <c r="AH3">
        <v>1.8484133520148178E-2</v>
      </c>
      <c r="AI3">
        <v>1.7196176863638744E-2</v>
      </c>
      <c r="AJ3">
        <v>1.7556278118012459E-2</v>
      </c>
      <c r="AK3">
        <v>1.7378338823226071E-2</v>
      </c>
      <c r="AL3">
        <v>1.6509718533294027E-2</v>
      </c>
      <c r="AM3">
        <v>1.7202499774524024E-2</v>
      </c>
      <c r="AN3">
        <v>1.6072633587998809E-2</v>
      </c>
      <c r="AO3">
        <v>1.8325856407858141E-2</v>
      </c>
      <c r="AP3">
        <v>1.6217386560840992E-2</v>
      </c>
      <c r="AQ3">
        <v>1.7656494497315954E-2</v>
      </c>
      <c r="AS3">
        <v>7.58440440752593E-3</v>
      </c>
      <c r="AT3">
        <v>6.5162976608058986E-3</v>
      </c>
      <c r="AU3">
        <v>6.2505013647200939E-3</v>
      </c>
      <c r="AV3">
        <v>6.5265654973152938E-3</v>
      </c>
      <c r="AW3">
        <v>6.4034358156363465E-3</v>
      </c>
      <c r="AX3">
        <v>5.6188373526932806E-3</v>
      </c>
      <c r="AY3">
        <v>6.597229295421024E-3</v>
      </c>
      <c r="AZ3">
        <v>5.4103953315063858E-3</v>
      </c>
      <c r="BA3">
        <v>6.660783524272392E-3</v>
      </c>
      <c r="BB3">
        <v>5.9824226382961931E-3</v>
      </c>
      <c r="BC3">
        <v>7.1776778412742138E-3</v>
      </c>
      <c r="BD3">
        <v>7.6365783823145574E-3</v>
      </c>
    </row>
    <row r="4" spans="1:56">
      <c r="A4" t="s">
        <v>783</v>
      </c>
      <c r="B4" t="s">
        <v>179</v>
      </c>
      <c r="C4" t="s">
        <v>332</v>
      </c>
      <c r="D4" t="s">
        <v>750</v>
      </c>
      <c r="E4" t="s">
        <v>784</v>
      </c>
      <c r="F4">
        <v>1.8921019897327204E-4</v>
      </c>
      <c r="G4">
        <v>1.0065102026425481</v>
      </c>
      <c r="H4">
        <v>9.5833976838980899</v>
      </c>
      <c r="J4" t="s">
        <v>785</v>
      </c>
      <c r="K4">
        <v>7.4751735468098962E-2</v>
      </c>
      <c r="L4">
        <v>0.11696227695631788</v>
      </c>
      <c r="M4">
        <v>0.23284850096463763</v>
      </c>
      <c r="N4">
        <v>0.40561044625535064</v>
      </c>
      <c r="O4">
        <v>0.62804721498178462</v>
      </c>
      <c r="P4">
        <v>0.87522147691001528</v>
      </c>
      <c r="Q4">
        <v>1.1087942194206561</v>
      </c>
      <c r="R4">
        <v>1.2876427270132076</v>
      </c>
      <c r="S4">
        <v>1.3803133835819421</v>
      </c>
      <c r="T4">
        <v>1.3739639420174652</v>
      </c>
      <c r="U4">
        <v>1.2764674606919073</v>
      </c>
      <c r="V4">
        <v>1.1117712465761327</v>
      </c>
      <c r="W4">
        <v>0.91136466963449081</v>
      </c>
      <c r="X4">
        <v>0.70557852723102343</v>
      </c>
      <c r="Y4">
        <v>0.51750842758319349</v>
      </c>
      <c r="Z4">
        <v>0.36058952217141627</v>
      </c>
      <c r="AA4">
        <v>0.23928720691295183</v>
      </c>
      <c r="AB4">
        <v>0.1515732182116426</v>
      </c>
      <c r="AC4">
        <v>9.1837553900443569E-2</v>
      </c>
      <c r="AD4">
        <v>5.3325475672290033E-2</v>
      </c>
      <c r="AE4">
        <v>12.37913498607044</v>
      </c>
      <c r="AF4">
        <v>6.3113357144661139E-2</v>
      </c>
      <c r="AG4">
        <v>5.6749145952480436E-2</v>
      </c>
      <c r="AH4">
        <v>6.5303678179750982E-2</v>
      </c>
      <c r="AI4">
        <v>6.0753380654877565E-2</v>
      </c>
      <c r="AJ4">
        <v>6.2025603472469354E-2</v>
      </c>
      <c r="AK4">
        <v>6.1396951313600442E-2</v>
      </c>
      <c r="AL4">
        <v>5.8328151804427165E-2</v>
      </c>
      <c r="AM4">
        <v>6.0775719237162816E-2</v>
      </c>
      <c r="AN4">
        <v>5.678394879519981E-2</v>
      </c>
      <c r="AO4">
        <v>6.4744491697304174E-2</v>
      </c>
      <c r="AP4">
        <v>5.7295355053099011E-2</v>
      </c>
      <c r="AQ4">
        <v>6.2379663789943335E-2</v>
      </c>
      <c r="AS4">
        <v>2.6795386652789542E-2</v>
      </c>
      <c r="AT4">
        <v>2.3021809753802365E-2</v>
      </c>
      <c r="AU4">
        <v>2.2082762448066496E-2</v>
      </c>
      <c r="AV4">
        <v>2.3058085594932866E-2</v>
      </c>
      <c r="AW4">
        <v>2.2623073529153721E-2</v>
      </c>
      <c r="AX4">
        <v>1.9851119654847878E-2</v>
      </c>
      <c r="AY4">
        <v>2.3307737866997736E-2</v>
      </c>
      <c r="AZ4">
        <v>1.9114702626920204E-2</v>
      </c>
      <c r="BA4">
        <v>2.353227232533997E-2</v>
      </c>
      <c r="BB4">
        <v>2.1135651410476262E-2</v>
      </c>
      <c r="BC4">
        <v>2.5358438539387022E-2</v>
      </c>
      <c r="BD4">
        <v>2.6979715144857676E-2</v>
      </c>
    </row>
    <row r="5" spans="1:56">
      <c r="A5" t="s">
        <v>783</v>
      </c>
      <c r="B5" t="s">
        <v>179</v>
      </c>
      <c r="C5" t="s">
        <v>332</v>
      </c>
      <c r="D5" t="s">
        <v>750</v>
      </c>
      <c r="E5" t="s">
        <v>784</v>
      </c>
      <c r="F5">
        <v>2.3229957882234747E-4</v>
      </c>
      <c r="G5">
        <v>1.2357256502187177</v>
      </c>
      <c r="H5">
        <v>6.0459335408393819</v>
      </c>
      <c r="J5" t="s">
        <v>491</v>
      </c>
      <c r="K5">
        <v>0.13860561233829263</v>
      </c>
      <c r="L5">
        <v>0.21687293166497629</v>
      </c>
      <c r="M5">
        <v>0.43175063235863492</v>
      </c>
      <c r="N5">
        <v>0.75208801403712422</v>
      </c>
      <c r="O5">
        <v>1.1645330809350829</v>
      </c>
      <c r="P5">
        <v>1.6228467202678933</v>
      </c>
      <c r="Q5">
        <v>2.0559402504513873</v>
      </c>
      <c r="R5">
        <v>2.3875634128491958</v>
      </c>
      <c r="S5">
        <v>2.5593945150847102</v>
      </c>
      <c r="T5">
        <v>2.547621300315321</v>
      </c>
      <c r="U5">
        <v>2.3668420928449483</v>
      </c>
      <c r="V5">
        <v>2.0614602918156262</v>
      </c>
      <c r="W5">
        <v>1.6898638848603422</v>
      </c>
      <c r="X5">
        <v>1.3082926196588787</v>
      </c>
      <c r="Y5">
        <v>0.95957066476412223</v>
      </c>
      <c r="Z5">
        <v>0.66860964779434229</v>
      </c>
      <c r="AA5">
        <v>0.44368936227632544</v>
      </c>
      <c r="AB5">
        <v>0.2810489762244533</v>
      </c>
      <c r="AC5">
        <v>0.17028635274232856</v>
      </c>
      <c r="AD5">
        <v>9.8876770719828422E-2</v>
      </c>
      <c r="AE5">
        <v>22.953548492461646</v>
      </c>
      <c r="AF5">
        <v>7.7486342503345879E-2</v>
      </c>
      <c r="AG5">
        <v>6.9672791291506136E-2</v>
      </c>
      <c r="AH5">
        <v>8.0175471613182989E-2</v>
      </c>
      <c r="AI5">
        <v>7.4588921816817186E-2</v>
      </c>
      <c r="AJ5">
        <v>7.6150871575860035E-2</v>
      </c>
      <c r="AK5">
        <v>7.5379054662588707E-2</v>
      </c>
      <c r="AL5">
        <v>7.1611388662872269E-2</v>
      </c>
      <c r="AM5">
        <v>7.4616347628345903E-2</v>
      </c>
      <c r="AN5">
        <v>6.9715519885151733E-2</v>
      </c>
      <c r="AO5">
        <v>7.9488939993532334E-2</v>
      </c>
      <c r="AP5">
        <v>7.0343390153042945E-2</v>
      </c>
      <c r="AQ5">
        <v>7.6585563062224013E-2</v>
      </c>
      <c r="AS5">
        <v>3.2897576703591162E-2</v>
      </c>
      <c r="AT5">
        <v>2.8264632343058614E-2</v>
      </c>
      <c r="AU5">
        <v>2.7111733108237151E-2</v>
      </c>
      <c r="AV5">
        <v>2.8309169385257019E-2</v>
      </c>
      <c r="AW5">
        <v>2.777509077738341E-2</v>
      </c>
      <c r="AX5">
        <v>2.4371871918091457E-2</v>
      </c>
      <c r="AY5">
        <v>2.8615675683371027E-2</v>
      </c>
      <c r="AZ5">
        <v>2.3467748533868554E-2</v>
      </c>
      <c r="BA5">
        <v>2.8891344016193681E-2</v>
      </c>
      <c r="BB5">
        <v>2.5948933764839772E-2</v>
      </c>
      <c r="BC5">
        <v>3.1133388285924914E-2</v>
      </c>
      <c r="BD5">
        <v>3.3123882850430712E-2</v>
      </c>
    </row>
    <row r="6" spans="1:56">
      <c r="A6" t="s">
        <v>783</v>
      </c>
      <c r="B6" t="s">
        <v>179</v>
      </c>
      <c r="C6" t="s">
        <v>332</v>
      </c>
      <c r="D6" t="s">
        <v>750</v>
      </c>
      <c r="E6" t="s">
        <v>784</v>
      </c>
      <c r="F6">
        <v>7.9780559418868961E-5</v>
      </c>
      <c r="G6">
        <v>0.42439544730337114</v>
      </c>
      <c r="H6">
        <v>20.103111884906212</v>
      </c>
      <c r="J6" t="s">
        <v>492</v>
      </c>
      <c r="K6">
        <v>2.2123865454027079E-2</v>
      </c>
      <c r="L6">
        <v>3.4616690333330626E-2</v>
      </c>
      <c r="M6">
        <v>6.8914907115594615E-2</v>
      </c>
      <c r="N6">
        <v>0.12004632245001008</v>
      </c>
      <c r="O6">
        <v>0.1858797256815955</v>
      </c>
      <c r="P6">
        <v>0.25903455052084406</v>
      </c>
      <c r="Q6">
        <v>0.32816380747620694</v>
      </c>
      <c r="R6">
        <v>0.38109662962211915</v>
      </c>
      <c r="S6">
        <v>0.40852386090476922</v>
      </c>
      <c r="T6">
        <v>0.40664465114460724</v>
      </c>
      <c r="U6">
        <v>0.37778914669938629</v>
      </c>
      <c r="V6">
        <v>0.32904490204649767</v>
      </c>
      <c r="W6">
        <v>0.26973165511524522</v>
      </c>
      <c r="X6">
        <v>0.20882624739022307</v>
      </c>
      <c r="Y6">
        <v>0.15316416069111585</v>
      </c>
      <c r="Z6">
        <v>0.1067217238863553</v>
      </c>
      <c r="AA6">
        <v>7.0820535970985338E-2</v>
      </c>
      <c r="AB6">
        <v>4.4860302776239321E-2</v>
      </c>
      <c r="AC6">
        <v>2.7180662407329192E-2</v>
      </c>
      <c r="AD6">
        <v>1.5782451626814947E-2</v>
      </c>
      <c r="AE6">
        <v>3.6637853978111372</v>
      </c>
      <c r="AF6">
        <v>2.661177339872263E-2</v>
      </c>
      <c r="AG6">
        <v>2.3928301091589079E-2</v>
      </c>
      <c r="AH6">
        <v>2.7535323177934414E-2</v>
      </c>
      <c r="AI6">
        <v>2.5616688326184283E-2</v>
      </c>
      <c r="AJ6">
        <v>2.6153121608553279E-2</v>
      </c>
      <c r="AK6">
        <v>2.5888050163215777E-2</v>
      </c>
      <c r="AL6">
        <v>2.4594089568518766E-2</v>
      </c>
      <c r="AM6">
        <v>2.5626107398734353E-2</v>
      </c>
      <c r="AN6">
        <v>2.394297572475677E-2</v>
      </c>
      <c r="AO6">
        <v>2.7299541964071951E-2</v>
      </c>
      <c r="AP6">
        <v>2.4158610386983793E-2</v>
      </c>
      <c r="AQ6">
        <v>2.6302411289286013E-2</v>
      </c>
      <c r="AS6">
        <v>1.1298285972979842E-2</v>
      </c>
      <c r="AT6">
        <v>9.7071556975244187E-3</v>
      </c>
      <c r="AU6">
        <v>9.3112060088769676E-3</v>
      </c>
      <c r="AV6">
        <v>9.7224514210873438E-3</v>
      </c>
      <c r="AW6">
        <v>9.5390284018730346E-3</v>
      </c>
      <c r="AX6">
        <v>8.3702328930925531E-3</v>
      </c>
      <c r="AY6">
        <v>9.8277174058683265E-3</v>
      </c>
      <c r="AZ6">
        <v>8.0597223457094819E-3</v>
      </c>
      <c r="BA6">
        <v>9.9223924540029502E-3</v>
      </c>
      <c r="BB6">
        <v>8.9118562443253856E-3</v>
      </c>
      <c r="BC6">
        <v>1.0692396200836346E-2</v>
      </c>
      <c r="BD6">
        <v>1.1376008158643362E-2</v>
      </c>
    </row>
    <row r="7" spans="1:56">
      <c r="A7" t="s">
        <v>783</v>
      </c>
      <c r="B7" t="s">
        <v>179</v>
      </c>
      <c r="C7" t="s">
        <v>332</v>
      </c>
      <c r="D7" t="s">
        <v>750</v>
      </c>
      <c r="E7" t="s">
        <v>784</v>
      </c>
      <c r="F7">
        <v>5.3571855087473207E-6</v>
      </c>
      <c r="G7">
        <v>2.8497733744070924E-2</v>
      </c>
      <c r="H7">
        <v>72.600335126113649</v>
      </c>
      <c r="J7" t="s">
        <v>493</v>
      </c>
      <c r="K7">
        <v>1.6747294626946658E-3</v>
      </c>
      <c r="L7">
        <v>2.620409680337023E-3</v>
      </c>
      <c r="M7">
        <v>5.2167115916149469E-3</v>
      </c>
      <c r="N7">
        <v>9.0872507570136599E-3</v>
      </c>
      <c r="O7">
        <v>1.4070699072159945E-2</v>
      </c>
      <c r="P7">
        <v>1.9608363398999202E-2</v>
      </c>
      <c r="Q7">
        <v>2.4841300816644853E-2</v>
      </c>
      <c r="R7">
        <v>2.8848202638369669E-2</v>
      </c>
      <c r="S7">
        <v>3.0924385591328013E-2</v>
      </c>
      <c r="T7">
        <v>3.0782133417607896E-2</v>
      </c>
      <c r="U7">
        <v>2.8597833230294467E-2</v>
      </c>
      <c r="V7">
        <v>2.4907997797755703E-2</v>
      </c>
      <c r="W7">
        <v>2.0418111418259059E-2</v>
      </c>
      <c r="X7">
        <v>1.5807701860016184E-2</v>
      </c>
      <c r="Y7">
        <v>1.1594200528444322E-2</v>
      </c>
      <c r="Z7">
        <v>8.0786070442094033E-3</v>
      </c>
      <c r="AA7">
        <v>5.36096363453736E-3</v>
      </c>
      <c r="AB7">
        <v>3.395829310248134E-3</v>
      </c>
      <c r="AC7">
        <v>2.0575182146041178E-3</v>
      </c>
      <c r="AD7">
        <v>1.1946979513098241E-3</v>
      </c>
      <c r="AE7">
        <v>0.2773407460579152</v>
      </c>
      <c r="AF7">
        <v>1.7869542135597804E-3</v>
      </c>
      <c r="AG7">
        <v>1.6067617072447577E-3</v>
      </c>
      <c r="AH7">
        <v>1.848969666069004E-3</v>
      </c>
      <c r="AI7">
        <v>1.7201352369895007E-3</v>
      </c>
      <c r="AJ7">
        <v>1.7561562003375875E-3</v>
      </c>
      <c r="AK7">
        <v>1.7383569154480296E-3</v>
      </c>
      <c r="AL7">
        <v>1.6514687437268194E-3</v>
      </c>
      <c r="AM7">
        <v>1.7207677183776813E-3</v>
      </c>
      <c r="AN7">
        <v>1.6077470943205664E-3</v>
      </c>
      <c r="AO7">
        <v>1.83313719119869E-3</v>
      </c>
      <c r="AP7">
        <v>1.622226748212201E-3</v>
      </c>
      <c r="AQ7">
        <v>1.7661808544645146E-3</v>
      </c>
      <c r="AS7">
        <v>7.5866870737704365E-4</v>
      </c>
      <c r="AT7">
        <v>6.5182588606457596E-4</v>
      </c>
      <c r="AU7">
        <v>6.2523825682675113E-4</v>
      </c>
      <c r="AV7">
        <v>6.5285297874497308E-4</v>
      </c>
      <c r="AW7">
        <v>6.4053630476244925E-4</v>
      </c>
      <c r="AX7">
        <v>5.6205284453182507E-4</v>
      </c>
      <c r="AY7">
        <v>6.5992148531274382E-4</v>
      </c>
      <c r="AZ7">
        <v>5.4120236896646628E-4</v>
      </c>
      <c r="BA7">
        <v>6.6627882097949269E-4</v>
      </c>
      <c r="BB7">
        <v>5.9842231586117048E-4</v>
      </c>
      <c r="BC7">
        <v>7.1798380956649159E-4</v>
      </c>
      <c r="BD7">
        <v>7.6388767512780499E-4</v>
      </c>
    </row>
    <row r="8" spans="1:56">
      <c r="A8" t="s">
        <v>783</v>
      </c>
      <c r="B8" t="s">
        <v>179</v>
      </c>
      <c r="C8" t="s">
        <v>332</v>
      </c>
      <c r="D8" t="s">
        <v>750</v>
      </c>
      <c r="E8" t="s">
        <v>784</v>
      </c>
      <c r="F8">
        <v>2.1440916875335303E-5</v>
      </c>
      <c r="G8">
        <v>0.1140556994609167</v>
      </c>
      <c r="H8">
        <v>82.616837725415991</v>
      </c>
      <c r="J8" t="s">
        <v>506</v>
      </c>
      <c r="K8">
        <v>1.4762056681281341E-2</v>
      </c>
      <c r="L8">
        <v>2.3109444116647237E-2</v>
      </c>
      <c r="M8">
        <v>4.6029390791537991E-2</v>
      </c>
      <c r="N8">
        <v>8.0221173006262247E-2</v>
      </c>
      <c r="O8">
        <v>0.12427685852856796</v>
      </c>
      <c r="P8">
        <v>0.17327425277204103</v>
      </c>
      <c r="Q8">
        <v>0.2196266906090418</v>
      </c>
      <c r="R8">
        <v>0.25518059137380222</v>
      </c>
      <c r="S8">
        <v>0.27368314717602865</v>
      </c>
      <c r="T8">
        <v>0.27256104627260697</v>
      </c>
      <c r="U8">
        <v>0.25334730958403018</v>
      </c>
      <c r="V8">
        <v>0.22077001241289351</v>
      </c>
      <c r="W8">
        <v>0.18106517500400046</v>
      </c>
      <c r="X8">
        <v>0.14025107272282106</v>
      </c>
      <c r="Y8">
        <v>0.10291918981816897</v>
      </c>
      <c r="Z8">
        <v>7.1748054797939859E-2</v>
      </c>
      <c r="AA8">
        <v>4.7635925182178865E-2</v>
      </c>
      <c r="AB8">
        <v>3.0189484111138556E-2</v>
      </c>
      <c r="AC8">
        <v>1.8300865268172505E-2</v>
      </c>
      <c r="AD8">
        <v>1.0631735170333743E-2</v>
      </c>
      <c r="AE8">
        <v>2.4680827156335052</v>
      </c>
      <c r="AF8">
        <v>7.1518779199274789E-3</v>
      </c>
      <c r="AG8">
        <v>6.430698385795173E-3</v>
      </c>
      <c r="AH8">
        <v>7.4000806674458276E-3</v>
      </c>
      <c r="AI8">
        <v>6.8844501595859593E-3</v>
      </c>
      <c r="AJ8">
        <v>7.0286158748957541E-3</v>
      </c>
      <c r="AK8">
        <v>6.9573782843485752E-3</v>
      </c>
      <c r="AL8">
        <v>6.6096281337737171E-3</v>
      </c>
      <c r="AM8">
        <v>6.8869815225277558E-3</v>
      </c>
      <c r="AN8">
        <v>6.4346421735075729E-3</v>
      </c>
      <c r="AO8">
        <v>7.3367147867849924E-3</v>
      </c>
      <c r="AP8">
        <v>6.4925936958073402E-3</v>
      </c>
      <c r="AQ8">
        <v>7.068737273620603E-3</v>
      </c>
      <c r="AS8">
        <v>3.036398994253404E-3</v>
      </c>
      <c r="AT8">
        <v>2.6087848960022896E-3</v>
      </c>
      <c r="AU8">
        <v>2.5023739555057128E-3</v>
      </c>
      <c r="AV8">
        <v>2.6128956009139831E-3</v>
      </c>
      <c r="AW8">
        <v>2.5636009138794011E-3</v>
      </c>
      <c r="AX8">
        <v>2.2494887099719844E-3</v>
      </c>
      <c r="AY8">
        <v>2.6411856912057739E-3</v>
      </c>
      <c r="AZ8">
        <v>2.1660394225283979E-3</v>
      </c>
      <c r="BA8">
        <v>2.6666294816731382E-3</v>
      </c>
      <c r="BB8">
        <v>2.395049249232594E-3</v>
      </c>
      <c r="BC8">
        <v>2.8735669417487421E-3</v>
      </c>
      <c r="BD8">
        <v>3.0572867259805246E-3</v>
      </c>
    </row>
    <row r="9" spans="1:56">
      <c r="A9" t="s">
        <v>783</v>
      </c>
      <c r="B9" t="s">
        <v>179</v>
      </c>
      <c r="C9" t="s">
        <v>332</v>
      </c>
      <c r="D9" t="s">
        <v>750</v>
      </c>
      <c r="E9" t="s">
        <v>784</v>
      </c>
      <c r="F9">
        <v>2.1440916875335303E-5</v>
      </c>
      <c r="G9">
        <v>0.1140556994609167</v>
      </c>
      <c r="H9">
        <v>82.616837725415991</v>
      </c>
      <c r="J9" t="s">
        <v>507</v>
      </c>
      <c r="K9">
        <v>7.4786544402643115E-3</v>
      </c>
      <c r="L9">
        <v>1.1707552042809426E-2</v>
      </c>
      <c r="M9">
        <v>2.3319102158867816E-2</v>
      </c>
      <c r="N9">
        <v>4.0641114220028828E-2</v>
      </c>
      <c r="O9">
        <v>6.2960311013797066E-2</v>
      </c>
      <c r="P9">
        <v>8.7783043234096636E-2</v>
      </c>
      <c r="Q9">
        <v>0.11126580532688334</v>
      </c>
      <c r="R9">
        <v>0.12927788477921695</v>
      </c>
      <c r="S9">
        <v>0.13865152587097765</v>
      </c>
      <c r="T9">
        <v>0.13808305461490666</v>
      </c>
      <c r="U9">
        <v>0.12834911981825325</v>
      </c>
      <c r="V9">
        <v>0.11184502737362355</v>
      </c>
      <c r="W9">
        <v>9.1730028156440144E-2</v>
      </c>
      <c r="X9">
        <v>7.1053060587443526E-2</v>
      </c>
      <c r="Y9">
        <v>5.2140231712973321E-2</v>
      </c>
      <c r="Z9">
        <v>3.6348519734064944E-2</v>
      </c>
      <c r="AA9">
        <v>2.4132993868770183E-2</v>
      </c>
      <c r="AB9">
        <v>1.5294394559759809E-2</v>
      </c>
      <c r="AC9">
        <v>9.2714619821265519E-3</v>
      </c>
      <c r="AD9">
        <v>5.3861785763329824E-3</v>
      </c>
      <c r="AE9">
        <v>1.2503635610353165</v>
      </c>
      <c r="AF9">
        <v>7.1518779199274789E-3</v>
      </c>
      <c r="AG9">
        <v>6.430698385795173E-3</v>
      </c>
      <c r="AH9">
        <v>7.4000806674458276E-3</v>
      </c>
      <c r="AI9">
        <v>6.8844501595859593E-3</v>
      </c>
      <c r="AJ9">
        <v>7.0286158748957541E-3</v>
      </c>
      <c r="AK9">
        <v>6.9573782843485752E-3</v>
      </c>
      <c r="AL9">
        <v>6.6096281337737171E-3</v>
      </c>
      <c r="AM9">
        <v>6.8869815225277558E-3</v>
      </c>
      <c r="AN9">
        <v>6.4346421735075729E-3</v>
      </c>
      <c r="AO9">
        <v>7.3367147867849924E-3</v>
      </c>
      <c r="AP9">
        <v>6.4925936958073402E-3</v>
      </c>
      <c r="AQ9">
        <v>7.068737273620603E-3</v>
      </c>
      <c r="AS9">
        <v>3.036398994253404E-3</v>
      </c>
      <c r="AT9">
        <v>2.6087848960022896E-3</v>
      </c>
      <c r="AU9">
        <v>2.5023739555057128E-3</v>
      </c>
      <c r="AV9">
        <v>2.6128956009139831E-3</v>
      </c>
      <c r="AW9">
        <v>2.5636009138794011E-3</v>
      </c>
      <c r="AX9">
        <v>2.2494887099719844E-3</v>
      </c>
      <c r="AY9">
        <v>2.6411856912057739E-3</v>
      </c>
      <c r="AZ9">
        <v>2.1660394225283979E-3</v>
      </c>
      <c r="BA9">
        <v>2.6666294816731382E-3</v>
      </c>
      <c r="BB9">
        <v>2.395049249232594E-3</v>
      </c>
      <c r="BC9">
        <v>2.8735669417487421E-3</v>
      </c>
      <c r="BD9">
        <v>3.0572867259805246E-3</v>
      </c>
    </row>
    <row r="10" spans="1:56">
      <c r="A10" t="s">
        <v>783</v>
      </c>
      <c r="B10" t="s">
        <v>179</v>
      </c>
      <c r="C10" t="s">
        <v>332</v>
      </c>
      <c r="D10" t="s">
        <v>750</v>
      </c>
      <c r="E10" t="s">
        <v>784</v>
      </c>
      <c r="F10">
        <v>9.3906018660048138E-6</v>
      </c>
      <c r="G10">
        <v>4.9953631666669059E-2</v>
      </c>
      <c r="H10">
        <v>74.444690070180542</v>
      </c>
      <c r="J10" t="s">
        <v>505</v>
      </c>
      <c r="K10">
        <v>1.2031572157170737E-2</v>
      </c>
      <c r="L10">
        <v>1.8842538370666202E-2</v>
      </c>
      <c r="M10">
        <v>3.7545641957389485E-2</v>
      </c>
      <c r="N10">
        <v>6.5461765393757518E-2</v>
      </c>
      <c r="O10">
        <v>0.10145264400724535</v>
      </c>
      <c r="P10">
        <v>0.14150817691418585</v>
      </c>
      <c r="Q10">
        <v>0.17943494120313169</v>
      </c>
      <c r="R10">
        <v>0.20856620390746008</v>
      </c>
      <c r="S10">
        <v>0.2237787019493872</v>
      </c>
      <c r="T10">
        <v>0.22295072075217445</v>
      </c>
      <c r="U10">
        <v>0.20731741621303212</v>
      </c>
      <c r="V10">
        <v>0.18073154905141328</v>
      </c>
      <c r="W10">
        <v>0.14828704661640707</v>
      </c>
      <c r="X10">
        <v>0.11490763242305398</v>
      </c>
      <c r="Y10">
        <v>8.4355507292802417E-2</v>
      </c>
      <c r="Z10">
        <v>5.8830374341073105E-2</v>
      </c>
      <c r="AA10">
        <v>3.9075134637340754E-2</v>
      </c>
      <c r="AB10">
        <v>2.4773990588570782E-2</v>
      </c>
      <c r="AC10">
        <v>1.5024025022935169E-2</v>
      </c>
      <c r="AD10">
        <v>8.7315877427039321E-3</v>
      </c>
      <c r="AE10">
        <v>2.0269768238713999</v>
      </c>
      <c r="AF10">
        <v>3.1323491682190164E-3</v>
      </c>
      <c r="AG10">
        <v>2.8164900135791379E-3</v>
      </c>
      <c r="AH10">
        <v>3.2410559552256179E-3</v>
      </c>
      <c r="AI10">
        <v>3.0152222916079948E-3</v>
      </c>
      <c r="AJ10">
        <v>3.0783633803531055E-3</v>
      </c>
      <c r="AK10">
        <v>3.0471630424845522E-3</v>
      </c>
      <c r="AL10">
        <v>2.8948569059569535E-3</v>
      </c>
      <c r="AM10">
        <v>3.0163309672165519E-3</v>
      </c>
      <c r="AN10">
        <v>2.8182172970002022E-3</v>
      </c>
      <c r="AO10">
        <v>3.2133032354779291E-3</v>
      </c>
      <c r="AP10">
        <v>2.843598659029176E-3</v>
      </c>
      <c r="AQ10">
        <v>3.0959355804564366E-3</v>
      </c>
      <c r="AS10">
        <v>1.3298691575159259E-3</v>
      </c>
      <c r="AT10">
        <v>1.1425845477991557E-3</v>
      </c>
      <c r="AU10">
        <v>1.0959791352507778E-3</v>
      </c>
      <c r="AV10">
        <v>1.1443849369074568E-3</v>
      </c>
      <c r="AW10">
        <v>1.1227950588839298E-3</v>
      </c>
      <c r="AX10">
        <v>9.8522152761666031E-4</v>
      </c>
      <c r="AY10">
        <v>1.1567753107066827E-3</v>
      </c>
      <c r="AZ10">
        <v>9.4867276251762772E-4</v>
      </c>
      <c r="BA10">
        <v>1.1679190741767946E-3</v>
      </c>
      <c r="BB10">
        <v>1.0489735154418532E-3</v>
      </c>
      <c r="BC10">
        <v>1.2585526655493594E-3</v>
      </c>
      <c r="BD10">
        <v>1.3390174776961577E-3</v>
      </c>
    </row>
    <row r="11" spans="1:56">
      <c r="A11" t="s">
        <v>783</v>
      </c>
      <c r="B11" t="s">
        <v>179</v>
      </c>
      <c r="C11" t="s">
        <v>332</v>
      </c>
      <c r="D11" t="s">
        <v>750</v>
      </c>
      <c r="E11" t="s">
        <v>784</v>
      </c>
      <c r="F11">
        <v>1.8574892904580788E-4</v>
      </c>
      <c r="G11">
        <v>0.98809785745715661</v>
      </c>
      <c r="H11">
        <v>22.614238448146263</v>
      </c>
      <c r="J11" t="s">
        <v>495</v>
      </c>
      <c r="K11">
        <v>2.8493411459779228E-2</v>
      </c>
      <c r="L11">
        <v>4.4385897107653935E-2</v>
      </c>
      <c r="M11">
        <v>8.7972848067370116E-2</v>
      </c>
      <c r="N11">
        <v>0.15256691176083662</v>
      </c>
      <c r="O11">
        <v>0.23519037041887189</v>
      </c>
      <c r="P11">
        <v>0.32630311991914268</v>
      </c>
      <c r="Q11">
        <v>0.41155722597801714</v>
      </c>
      <c r="R11">
        <v>0.4758287461015841</v>
      </c>
      <c r="S11">
        <v>0.5078190787241057</v>
      </c>
      <c r="T11">
        <v>0.50324870701558877</v>
      </c>
      <c r="U11">
        <v>0.46547150407561899</v>
      </c>
      <c r="V11">
        <v>0.40362197797157073</v>
      </c>
      <c r="W11">
        <v>0.32940301896338642</v>
      </c>
      <c r="X11">
        <v>0.2538965269498904</v>
      </c>
      <c r="Y11">
        <v>0.18539791657383103</v>
      </c>
      <c r="Z11">
        <v>0.12861053472726611</v>
      </c>
      <c r="AA11">
        <v>8.4968693276480461E-2</v>
      </c>
      <c r="AB11">
        <v>5.3584347750813277E-2</v>
      </c>
      <c r="AC11">
        <v>3.2323010464991128E-2</v>
      </c>
      <c r="AD11">
        <v>1.8685393632969397E-2</v>
      </c>
      <c r="AE11">
        <v>4.3376830142480367</v>
      </c>
      <c r="AF11">
        <v>6.1958808572271672E-2</v>
      </c>
      <c r="AG11">
        <v>5.5711019501789791E-2</v>
      </c>
      <c r="AH11">
        <v>6.4109061511818097E-2</v>
      </c>
      <c r="AI11">
        <v>5.9642003728086139E-2</v>
      </c>
      <c r="AJ11">
        <v>6.0890953452560015E-2</v>
      </c>
      <c r="AK11">
        <v>6.0273801386308397E-2</v>
      </c>
      <c r="AL11">
        <v>5.7261140201137505E-2</v>
      </c>
      <c r="AM11">
        <v>5.966393366504727E-2</v>
      </c>
      <c r="AN11">
        <v>5.5745185687322882E-2</v>
      </c>
      <c r="AO11">
        <v>6.3560104368836287E-2</v>
      </c>
      <c r="AP11">
        <v>5.6247236661464715E-2</v>
      </c>
      <c r="AQ11">
        <v>6.1238536855279767E-2</v>
      </c>
      <c r="AS11">
        <v>2.6305211881454009E-2</v>
      </c>
      <c r="AT11">
        <v>2.2600665977150595E-2</v>
      </c>
      <c r="AU11">
        <v>2.1678796900799015E-2</v>
      </c>
      <c r="AV11">
        <v>2.2636278215163081E-2</v>
      </c>
      <c r="AW11">
        <v>2.2209223934902562E-2</v>
      </c>
      <c r="AX11">
        <v>1.9487978112475084E-2</v>
      </c>
      <c r="AY11">
        <v>2.2881363535201531E-2</v>
      </c>
      <c r="AZ11">
        <v>1.8765032547114809E-2</v>
      </c>
      <c r="BA11">
        <v>2.3101790528023632E-2</v>
      </c>
      <c r="BB11">
        <v>2.0749011604475211E-2</v>
      </c>
      <c r="BC11">
        <v>2.4894550222583196E-2</v>
      </c>
      <c r="BD11">
        <v>2.6486168405891266E-2</v>
      </c>
    </row>
    <row r="12" spans="1:56">
      <c r="A12" t="s">
        <v>783</v>
      </c>
      <c r="B12" t="s">
        <v>179</v>
      </c>
      <c r="C12" t="s">
        <v>332</v>
      </c>
      <c r="D12" t="s">
        <v>750</v>
      </c>
      <c r="E12" t="s">
        <v>784</v>
      </c>
      <c r="F12">
        <v>1.8574892904580788E-4</v>
      </c>
      <c r="G12">
        <v>0.98809785745715661</v>
      </c>
      <c r="H12">
        <v>22.614238448146263</v>
      </c>
      <c r="J12" t="s">
        <v>496</v>
      </c>
      <c r="K12">
        <v>1.1929162239300628E-2</v>
      </c>
      <c r="L12">
        <v>1.8663028540710513E-2</v>
      </c>
      <c r="M12">
        <v>3.7149878091996741E-2</v>
      </c>
      <c r="N12">
        <v>6.4705428667954437E-2</v>
      </c>
      <c r="O12">
        <v>0.1001778074027759</v>
      </c>
      <c r="P12">
        <v>0.13958695541256869</v>
      </c>
      <c r="Q12">
        <v>0.17681758816020907</v>
      </c>
      <c r="R12">
        <v>0.20531351066810835</v>
      </c>
      <c r="S12">
        <v>0.22006323327450519</v>
      </c>
      <c r="T12">
        <v>0.21902453481344952</v>
      </c>
      <c r="U12">
        <v>0.20345802307518823</v>
      </c>
      <c r="V12">
        <v>0.17718548855548902</v>
      </c>
      <c r="W12">
        <v>0.14522873074665282</v>
      </c>
      <c r="X12">
        <v>0.11242252866252239</v>
      </c>
      <c r="Y12">
        <v>8.2446658977963064E-2</v>
      </c>
      <c r="Z12">
        <v>5.7440257523310757E-2</v>
      </c>
      <c r="AA12">
        <v>3.8112759671867148E-2</v>
      </c>
      <c r="AB12">
        <v>2.4139097465773817E-2</v>
      </c>
      <c r="AC12">
        <v>1.4624010998273953E-2</v>
      </c>
      <c r="AD12">
        <v>8.4904083053774886E-3</v>
      </c>
      <c r="AE12">
        <v>1.9709887098810737</v>
      </c>
      <c r="AF12">
        <v>6.1958808572271672E-2</v>
      </c>
      <c r="AG12">
        <v>5.5711019501789791E-2</v>
      </c>
      <c r="AH12">
        <v>6.4109061511818097E-2</v>
      </c>
      <c r="AI12">
        <v>5.9642003728086139E-2</v>
      </c>
      <c r="AJ12">
        <v>6.0890953452560015E-2</v>
      </c>
      <c r="AK12">
        <v>6.0273801386308397E-2</v>
      </c>
      <c r="AL12">
        <v>5.7261140201137505E-2</v>
      </c>
      <c r="AM12">
        <v>5.966393366504727E-2</v>
      </c>
      <c r="AN12">
        <v>5.5745185687322882E-2</v>
      </c>
      <c r="AO12">
        <v>6.3560104368836287E-2</v>
      </c>
      <c r="AP12">
        <v>5.6247236661464715E-2</v>
      </c>
      <c r="AQ12">
        <v>6.1238536855279767E-2</v>
      </c>
      <c r="AS12">
        <v>2.6305211881454009E-2</v>
      </c>
      <c r="AT12">
        <v>2.2600665977150595E-2</v>
      </c>
      <c r="AU12">
        <v>2.1678796900799015E-2</v>
      </c>
      <c r="AV12">
        <v>2.2636278215163081E-2</v>
      </c>
      <c r="AW12">
        <v>2.2209223934902562E-2</v>
      </c>
      <c r="AX12">
        <v>1.9487978112475084E-2</v>
      </c>
      <c r="AY12">
        <v>2.2881363535201531E-2</v>
      </c>
      <c r="AZ12">
        <v>1.8765032547114809E-2</v>
      </c>
      <c r="BA12">
        <v>2.3101790528023632E-2</v>
      </c>
      <c r="BB12">
        <v>2.0749011604475211E-2</v>
      </c>
      <c r="BC12">
        <v>2.4894550222583196E-2</v>
      </c>
      <c r="BD12">
        <v>2.6486168405891266E-2</v>
      </c>
    </row>
    <row r="13" spans="1:56">
      <c r="A13" t="s">
        <v>783</v>
      </c>
      <c r="B13" t="s">
        <v>179</v>
      </c>
      <c r="C13" t="s">
        <v>332</v>
      </c>
      <c r="D13" t="s">
        <v>750</v>
      </c>
      <c r="E13" t="s">
        <v>784</v>
      </c>
      <c r="F13">
        <v>4.0538184360117846E-4</v>
      </c>
      <c r="G13">
        <v>2.1564427486716466</v>
      </c>
      <c r="H13">
        <v>27.540932640005433</v>
      </c>
      <c r="J13" t="s">
        <v>497</v>
      </c>
      <c r="K13">
        <v>5.967256639984285E-2</v>
      </c>
      <c r="L13">
        <v>9.3357000892210315E-2</v>
      </c>
      <c r="M13">
        <v>0.18583271169599819</v>
      </c>
      <c r="N13">
        <v>0.32367226726938808</v>
      </c>
      <c r="O13">
        <v>0.50111371981669672</v>
      </c>
      <c r="P13">
        <v>0.69824784828282627</v>
      </c>
      <c r="Q13">
        <v>0.88448451437682207</v>
      </c>
      <c r="R13">
        <v>1.0270280387137907</v>
      </c>
      <c r="S13">
        <v>1.1008097330149889</v>
      </c>
      <c r="T13">
        <v>1.0956139110751584</v>
      </c>
      <c r="U13">
        <v>1.0177464391872257</v>
      </c>
      <c r="V13">
        <v>0.88632484149497859</v>
      </c>
      <c r="W13">
        <v>0.72646937855315896</v>
      </c>
      <c r="X13">
        <v>0.56236478906719134</v>
      </c>
      <c r="Y13">
        <v>0.41241820956206016</v>
      </c>
      <c r="Z13">
        <v>0.28733011692904797</v>
      </c>
      <c r="AA13">
        <v>0.19064927918476191</v>
      </c>
      <c r="AB13">
        <v>0.12074962746446101</v>
      </c>
      <c r="AC13">
        <v>7.3152854309549195E-2</v>
      </c>
      <c r="AD13">
        <v>4.247108415503606E-2</v>
      </c>
      <c r="AE13">
        <v>9.8593641619056669</v>
      </c>
      <c r="AF13">
        <v>0.13522003155219187</v>
      </c>
      <c r="AG13">
        <v>0.12158474296757432</v>
      </c>
      <c r="AH13">
        <v>0.13991278270462096</v>
      </c>
      <c r="AI13">
        <v>0.13016379449163548</v>
      </c>
      <c r="AJ13">
        <v>0.13288952510269889</v>
      </c>
      <c r="AK13">
        <v>0.13154264120040915</v>
      </c>
      <c r="AL13">
        <v>0.12496775459587263</v>
      </c>
      <c r="AM13">
        <v>0.13021165478521041</v>
      </c>
      <c r="AN13">
        <v>0.12165930787274698</v>
      </c>
      <c r="AO13">
        <v>0.13871472864410403</v>
      </c>
      <c r="AP13">
        <v>0.12275499305663944</v>
      </c>
      <c r="AQ13">
        <v>0.13364809744722614</v>
      </c>
      <c r="AS13">
        <v>5.7408973196252815E-2</v>
      </c>
      <c r="AT13">
        <v>4.9324104787556028E-2</v>
      </c>
      <c r="AU13">
        <v>4.7312200936211843E-2</v>
      </c>
      <c r="AV13">
        <v>4.9401825583979597E-2</v>
      </c>
      <c r="AW13">
        <v>4.8469814549842817E-2</v>
      </c>
      <c r="AX13">
        <v>4.2530918137063993E-2</v>
      </c>
      <c r="AY13">
        <v>4.9936704247276059E-2</v>
      </c>
      <c r="AZ13">
        <v>4.0953148576751912E-2</v>
      </c>
      <c r="BA13">
        <v>5.0417768128444666E-2</v>
      </c>
      <c r="BB13">
        <v>4.528302058231564E-2</v>
      </c>
      <c r="BC13">
        <v>5.4330319516211839E-2</v>
      </c>
      <c r="BD13">
        <v>5.7803896008808815E-2</v>
      </c>
    </row>
    <row r="14" spans="1:56">
      <c r="A14" t="s">
        <v>783</v>
      </c>
      <c r="B14" t="s">
        <v>179</v>
      </c>
      <c r="C14" t="s">
        <v>332</v>
      </c>
      <c r="D14" t="s">
        <v>750</v>
      </c>
      <c r="E14" t="s">
        <v>784</v>
      </c>
      <c r="F14">
        <v>2.3001261491618969E-5</v>
      </c>
      <c r="G14">
        <v>0.12235600665603641</v>
      </c>
      <c r="H14">
        <v>46.229060844235001</v>
      </c>
      <c r="J14" t="s">
        <v>499</v>
      </c>
      <c r="K14">
        <v>1.1175397497204354E-2</v>
      </c>
      <c r="L14">
        <v>1.7524527528413655E-2</v>
      </c>
      <c r="M14">
        <v>3.4964937324690935E-2</v>
      </c>
      <c r="N14">
        <v>6.1041787581445447E-2</v>
      </c>
      <c r="O14">
        <v>9.4726002453055513E-2</v>
      </c>
      <c r="P14">
        <v>0.13229812406603539</v>
      </c>
      <c r="Q14">
        <v>0.1679753199959888</v>
      </c>
      <c r="R14">
        <v>0.19550087576599823</v>
      </c>
      <c r="S14">
        <v>0.21003411009986434</v>
      </c>
      <c r="T14">
        <v>0.20953002823562467</v>
      </c>
      <c r="U14">
        <v>0.19509201242333543</v>
      </c>
      <c r="V14">
        <v>0.17029581764432933</v>
      </c>
      <c r="W14">
        <v>0.13990702985575057</v>
      </c>
      <c r="X14">
        <v>0.10855541898763095</v>
      </c>
      <c r="Y14">
        <v>7.9796231776255416E-2</v>
      </c>
      <c r="Z14">
        <v>5.5723304573994485E-2</v>
      </c>
      <c r="AA14">
        <v>3.7059712428677935E-2</v>
      </c>
      <c r="AB14">
        <v>2.352685307563129E-2</v>
      </c>
      <c r="AC14">
        <v>1.4286323512847934E-2</v>
      </c>
      <c r="AD14">
        <v>8.313687862909579E-3</v>
      </c>
      <c r="AE14">
        <v>1.9299642992306665</v>
      </c>
      <c r="AF14">
        <v>7.6723497949672138E-3</v>
      </c>
      <c r="AG14">
        <v>6.8986870293574433E-3</v>
      </c>
      <c r="AH14">
        <v>7.9386152878004601E-3</v>
      </c>
      <c r="AI14">
        <v>7.3854602052403229E-3</v>
      </c>
      <c r="AJ14">
        <v>7.5401174587172706E-3</v>
      </c>
      <c r="AK14">
        <v>7.4636956126863541E-3</v>
      </c>
      <c r="AL14">
        <v>7.0906382386183861E-3</v>
      </c>
      <c r="AM14">
        <v>7.3881757859821824E-3</v>
      </c>
      <c r="AN14">
        <v>6.9029178228896303E-3</v>
      </c>
      <c r="AO14">
        <v>7.8706380086943032E-3</v>
      </c>
      <c r="AP14">
        <v>6.9650867182780418E-3</v>
      </c>
      <c r="AQ14">
        <v>7.5831586583471871E-3</v>
      </c>
      <c r="AS14">
        <v>3.2573703664722209E-3</v>
      </c>
      <c r="AT14">
        <v>2.7986370133901406E-3</v>
      </c>
      <c r="AU14">
        <v>2.6844821065751963E-3</v>
      </c>
      <c r="AV14">
        <v>2.8030468713798199E-3</v>
      </c>
      <c r="AW14">
        <v>2.7501648051313251E-3</v>
      </c>
      <c r="AX14">
        <v>2.4131933508884087E-3</v>
      </c>
      <c r="AY14">
        <v>2.8333957490983622E-3</v>
      </c>
      <c r="AZ14">
        <v>2.3236711120336309E-3</v>
      </c>
      <c r="BA14">
        <v>2.8606911899267833E-3</v>
      </c>
      <c r="BB14">
        <v>2.5693469354511021E-3</v>
      </c>
      <c r="BC14">
        <v>3.0826883488769179E-3</v>
      </c>
      <c r="BD14">
        <v>3.2797781852336922E-3</v>
      </c>
    </row>
    <row r="15" spans="1:56">
      <c r="A15" t="s">
        <v>783</v>
      </c>
      <c r="B15" t="s">
        <v>179</v>
      </c>
      <c r="C15" t="s">
        <v>332</v>
      </c>
      <c r="D15" t="s">
        <v>750</v>
      </c>
      <c r="E15" t="s">
        <v>784</v>
      </c>
      <c r="F15">
        <v>2.3001261491618969E-5</v>
      </c>
      <c r="G15">
        <v>0.12235600665603641</v>
      </c>
      <c r="H15">
        <v>46.229060844235001</v>
      </c>
      <c r="J15" t="s">
        <v>500</v>
      </c>
      <c r="K15">
        <v>6.8982257093517362E-3</v>
      </c>
      <c r="L15">
        <v>1.082059945194439E-2</v>
      </c>
      <c r="M15">
        <v>2.1595752386190624E-2</v>
      </c>
      <c r="N15">
        <v>3.7713202285814346E-2</v>
      </c>
      <c r="O15">
        <v>5.8541784872688643E-2</v>
      </c>
      <c r="P15">
        <v>8.178638597423836E-2</v>
      </c>
      <c r="Q15">
        <v>0.10387317126288134</v>
      </c>
      <c r="R15">
        <v>0.12093087720376751</v>
      </c>
      <c r="S15">
        <v>0.12995976254330416</v>
      </c>
      <c r="T15">
        <v>0.1296868470419632</v>
      </c>
      <c r="U15">
        <v>0.12078687101896352</v>
      </c>
      <c r="V15">
        <v>0.1054665662660956</v>
      </c>
      <c r="W15">
        <v>8.6672424157477307E-2</v>
      </c>
      <c r="X15">
        <v>6.7270320496358546E-2</v>
      </c>
      <c r="Y15">
        <v>4.9463512606654186E-2</v>
      </c>
      <c r="Z15">
        <v>3.4551747461126027E-2</v>
      </c>
      <c r="AA15">
        <v>2.2986125860971766E-2</v>
      </c>
      <c r="AB15">
        <v>1.4596816816058763E-2</v>
      </c>
      <c r="AC15">
        <v>8.8663603917579995E-3</v>
      </c>
      <c r="AD15">
        <v>5.161182270378685E-3</v>
      </c>
      <c r="AE15">
        <v>1.1981322474340619</v>
      </c>
      <c r="AF15">
        <v>7.6723497949672138E-3</v>
      </c>
      <c r="AG15">
        <v>6.8986870293574433E-3</v>
      </c>
      <c r="AH15">
        <v>7.9386152878004601E-3</v>
      </c>
      <c r="AI15">
        <v>7.3854602052403229E-3</v>
      </c>
      <c r="AJ15">
        <v>7.5401174587172706E-3</v>
      </c>
      <c r="AK15">
        <v>7.4636956126863541E-3</v>
      </c>
      <c r="AL15">
        <v>7.0906382386183861E-3</v>
      </c>
      <c r="AM15">
        <v>7.3881757859821824E-3</v>
      </c>
      <c r="AN15">
        <v>6.9029178228896303E-3</v>
      </c>
      <c r="AO15">
        <v>7.8706380086943032E-3</v>
      </c>
      <c r="AP15">
        <v>6.9650867182780418E-3</v>
      </c>
      <c r="AQ15">
        <v>7.5831586583471871E-3</v>
      </c>
      <c r="AS15">
        <v>3.2573703664722209E-3</v>
      </c>
      <c r="AT15">
        <v>2.7986370133901406E-3</v>
      </c>
      <c r="AU15">
        <v>2.6844821065751963E-3</v>
      </c>
      <c r="AV15">
        <v>2.8030468713798199E-3</v>
      </c>
      <c r="AW15">
        <v>2.7501648051313251E-3</v>
      </c>
      <c r="AX15">
        <v>2.4131933508884087E-3</v>
      </c>
      <c r="AY15">
        <v>2.8333957490983622E-3</v>
      </c>
      <c r="AZ15">
        <v>2.3236711120336309E-3</v>
      </c>
      <c r="BA15">
        <v>2.8606911899267833E-3</v>
      </c>
      <c r="BB15">
        <v>2.5693469354511021E-3</v>
      </c>
      <c r="BC15">
        <v>3.0826883488769179E-3</v>
      </c>
      <c r="BD15">
        <v>3.2797781852336922E-3</v>
      </c>
    </row>
    <row r="16" spans="1:56">
      <c r="A16" t="s">
        <v>783</v>
      </c>
      <c r="B16" t="s">
        <v>179</v>
      </c>
      <c r="C16" t="s">
        <v>332</v>
      </c>
      <c r="D16" t="s">
        <v>750</v>
      </c>
      <c r="E16" t="s">
        <v>784</v>
      </c>
      <c r="F16">
        <v>1.4261311893392251E-4</v>
      </c>
      <c r="G16">
        <v>0.75863542249086136</v>
      </c>
      <c r="H16">
        <v>21.219633740488717</v>
      </c>
      <c r="J16" t="s">
        <v>501</v>
      </c>
      <c r="K16">
        <v>5.2429438491198618E-2</v>
      </c>
      <c r="L16">
        <v>8.2216416764426384E-2</v>
      </c>
      <c r="M16">
        <v>0.1640381947283836</v>
      </c>
      <c r="N16">
        <v>0.28637788035681216</v>
      </c>
      <c r="O16">
        <v>0.44440755869059784</v>
      </c>
      <c r="P16">
        <v>0.62067737276963619</v>
      </c>
      <c r="Q16">
        <v>0.78805713264089572</v>
      </c>
      <c r="R16">
        <v>0.91719342810965043</v>
      </c>
      <c r="S16">
        <v>0.98537617648850884</v>
      </c>
      <c r="T16">
        <v>0.98301127366493657</v>
      </c>
      <c r="U16">
        <v>0.91527524350093259</v>
      </c>
      <c r="V16">
        <v>0.79894376005196299</v>
      </c>
      <c r="W16">
        <v>0.65637459590527814</v>
      </c>
      <c r="X16">
        <v>0.50928834201397155</v>
      </c>
      <c r="Y16">
        <v>0.3743644578896817</v>
      </c>
      <c r="Z16">
        <v>0.26142618823352148</v>
      </c>
      <c r="AA16">
        <v>0.17386584358784071</v>
      </c>
      <c r="AB16">
        <v>0.11037635990387376</v>
      </c>
      <c r="AC16">
        <v>6.7024364911369066E-2</v>
      </c>
      <c r="AD16">
        <v>3.9003712087420872E-2</v>
      </c>
      <c r="AE16">
        <v>9.0544380673740239</v>
      </c>
      <c r="AF16">
        <v>4.7570335836188971E-2</v>
      </c>
      <c r="AG16">
        <v>4.2773448498211596E-2</v>
      </c>
      <c r="AH16">
        <v>4.9221243218432485E-2</v>
      </c>
      <c r="AI16">
        <v>4.5791554303031182E-2</v>
      </c>
      <c r="AJ16">
        <v>4.6750464895484491E-2</v>
      </c>
      <c r="AK16">
        <v>4.6276631848495814E-2</v>
      </c>
      <c r="AL16">
        <v>4.3963590206126869E-2</v>
      </c>
      <c r="AM16">
        <v>4.5808391529087437E-2</v>
      </c>
      <c r="AN16">
        <v>4.2799680392554024E-2</v>
      </c>
      <c r="AO16">
        <v>4.8799768431342955E-2</v>
      </c>
      <c r="AP16">
        <v>4.3185141862797677E-2</v>
      </c>
      <c r="AQ16">
        <v>4.7017330246505194E-2</v>
      </c>
      <c r="AS16">
        <v>2.0196446514675063E-2</v>
      </c>
      <c r="AT16">
        <v>1.7352194069395505E-2</v>
      </c>
      <c r="AU16">
        <v>1.6644407354809328E-2</v>
      </c>
      <c r="AV16">
        <v>1.7379536204616779E-2</v>
      </c>
      <c r="AW16">
        <v>1.7051655213997371E-2</v>
      </c>
      <c r="AX16">
        <v>1.4962354585908239E-2</v>
      </c>
      <c r="AY16">
        <v>1.756770623647189E-2</v>
      </c>
      <c r="AZ16">
        <v>1.4407296086109026E-2</v>
      </c>
      <c r="BA16">
        <v>1.7736944256335967E-2</v>
      </c>
      <c r="BB16">
        <v>1.5930542775730444E-2</v>
      </c>
      <c r="BC16">
        <v>1.9113377772553515E-2</v>
      </c>
      <c r="BD16">
        <v>2.0335380151999427E-2</v>
      </c>
    </row>
    <row r="17" spans="1:83">
      <c r="A17" t="s">
        <v>783</v>
      </c>
      <c r="B17" t="s">
        <v>179</v>
      </c>
      <c r="C17" t="s">
        <v>332</v>
      </c>
      <c r="D17" t="s">
        <v>750</v>
      </c>
      <c r="E17" t="s">
        <v>784</v>
      </c>
      <c r="F17">
        <v>1.4254281537464511E-4</v>
      </c>
      <c r="G17">
        <v>0.75826144027384157</v>
      </c>
      <c r="H17">
        <v>16.015295457716352</v>
      </c>
      <c r="J17" t="s">
        <v>494</v>
      </c>
      <c r="K17">
        <v>0.15300118274816868</v>
      </c>
      <c r="L17">
        <v>0.23942459814861411</v>
      </c>
      <c r="M17">
        <v>0.47670075956984148</v>
      </c>
      <c r="N17">
        <v>0.83048343378333389</v>
      </c>
      <c r="O17">
        <v>1.2860669600236248</v>
      </c>
      <c r="P17">
        <v>1.7924155287681787</v>
      </c>
      <c r="Q17">
        <v>2.2710208916976504</v>
      </c>
      <c r="R17">
        <v>2.6376368409574948</v>
      </c>
      <c r="S17">
        <v>2.8277874624078128</v>
      </c>
      <c r="T17">
        <v>2.8151001226598096</v>
      </c>
      <c r="U17">
        <v>2.6156383929910696</v>
      </c>
      <c r="V17">
        <v>2.2784150334760325</v>
      </c>
      <c r="W17">
        <v>1.8679232720997081</v>
      </c>
      <c r="X17">
        <v>1.4463108512369136</v>
      </c>
      <c r="Y17">
        <v>1.0609212795639207</v>
      </c>
      <c r="Z17">
        <v>0.73931289559605806</v>
      </c>
      <c r="AA17">
        <v>0.49066389671410005</v>
      </c>
      <c r="AB17">
        <v>0.31083974177720364</v>
      </c>
      <c r="AC17">
        <v>0.1883578915029315</v>
      </c>
      <c r="AD17">
        <v>0.10938246225066582</v>
      </c>
      <c r="AE17">
        <v>25.392371061649399</v>
      </c>
      <c r="AF17">
        <v>4.7546885231151338E-2</v>
      </c>
      <c r="AG17">
        <v>4.2752362600262855E-2</v>
      </c>
      <c r="AH17">
        <v>4.9196978770559938E-2</v>
      </c>
      <c r="AI17">
        <v>4.5768980578563108E-2</v>
      </c>
      <c r="AJ17">
        <v>4.6727418459752666E-2</v>
      </c>
      <c r="AK17">
        <v>4.6253818996812607E-2</v>
      </c>
      <c r="AL17">
        <v>4.394191760760853E-2</v>
      </c>
      <c r="AM17">
        <v>4.5785809504422799E-2</v>
      </c>
      <c r="AN17">
        <v>4.2778581563147414E-2</v>
      </c>
      <c r="AO17">
        <v>4.8775711756625491E-2</v>
      </c>
      <c r="AP17">
        <v>4.3163853013612204E-2</v>
      </c>
      <c r="AQ17">
        <v>4.6994152254965851E-2</v>
      </c>
      <c r="AS17">
        <v>2.0186490333326871E-2</v>
      </c>
      <c r="AT17">
        <v>1.7343640010600143E-2</v>
      </c>
      <c r="AU17">
        <v>1.6636202211496753E-2</v>
      </c>
      <c r="AV17">
        <v>1.7370968667051453E-2</v>
      </c>
      <c r="AW17">
        <v>1.7043249310935461E-2</v>
      </c>
      <c r="AX17">
        <v>1.4954978639077939E-2</v>
      </c>
      <c r="AY17">
        <v>1.755904593729327E-2</v>
      </c>
      <c r="AZ17">
        <v>1.440019376479393E-2</v>
      </c>
      <c r="BA17">
        <v>1.772820052840093E-2</v>
      </c>
      <c r="BB17">
        <v>1.5922689544087192E-2</v>
      </c>
      <c r="BC17">
        <v>1.9103955508337791E-2</v>
      </c>
      <c r="BD17">
        <v>2.0325355480954915E-2</v>
      </c>
    </row>
    <row r="18" spans="1:83">
      <c r="A18" t="s">
        <v>783</v>
      </c>
      <c r="B18" t="s">
        <v>179</v>
      </c>
      <c r="C18" t="s">
        <v>332</v>
      </c>
      <c r="D18" t="s">
        <v>750</v>
      </c>
      <c r="E18" t="s">
        <v>784</v>
      </c>
      <c r="F18">
        <v>2.8533980492496855E-5</v>
      </c>
      <c r="G18">
        <v>0.15178749688730306</v>
      </c>
      <c r="H18">
        <v>38.787029661676023</v>
      </c>
      <c r="J18" t="s">
        <v>498</v>
      </c>
      <c r="K18">
        <v>2.7918204227823311E-2</v>
      </c>
      <c r="L18">
        <v>4.3489862280472462E-2</v>
      </c>
      <c r="M18">
        <v>8.6196907039896437E-2</v>
      </c>
      <c r="N18">
        <v>0.14948698603394045</v>
      </c>
      <c r="O18">
        <v>0.23044249380387657</v>
      </c>
      <c r="P18">
        <v>0.31971591590349813</v>
      </c>
      <c r="Q18">
        <v>0.40324896520410319</v>
      </c>
      <c r="R18">
        <v>0.46622301193681076</v>
      </c>
      <c r="S18">
        <v>0.49756754366240841</v>
      </c>
      <c r="T18">
        <v>0.49308943576944658</v>
      </c>
      <c r="U18">
        <v>0.45607485545768733</v>
      </c>
      <c r="V18">
        <v>0.39547390903874657</v>
      </c>
      <c r="W18">
        <v>0.32275323611785689</v>
      </c>
      <c r="X18">
        <v>0.24877102210550847</v>
      </c>
      <c r="Y18">
        <v>0.1816552189837807</v>
      </c>
      <c r="Z18">
        <v>0.12601422540904819</v>
      </c>
      <c r="AA18">
        <v>8.3253398253577832E-2</v>
      </c>
      <c r="AB18">
        <v>5.2502620335006397E-2</v>
      </c>
      <c r="AC18">
        <v>3.1670493675125699E-2</v>
      </c>
      <c r="AD18">
        <v>1.830818455202805E-2</v>
      </c>
      <c r="AE18">
        <v>4.2501165730288157</v>
      </c>
      <c r="AF18">
        <v>9.5178553341944382E-3</v>
      </c>
      <c r="AG18">
        <v>8.5580958762306158E-3</v>
      </c>
      <c r="AH18">
        <v>9.8481682772952883E-3</v>
      </c>
      <c r="AI18">
        <v>9.1619573779127654E-3</v>
      </c>
      <c r="AJ18">
        <v>9.3538158572984437E-3</v>
      </c>
      <c r="AK18">
        <v>9.2590115151695851E-3</v>
      </c>
      <c r="AL18">
        <v>8.7962189923283425E-3</v>
      </c>
      <c r="AM18">
        <v>9.1653261639222747E-3</v>
      </c>
      <c r="AN18">
        <v>8.5633443440226633E-3</v>
      </c>
      <c r="AO18">
        <v>9.7638397565898098E-3</v>
      </c>
      <c r="AP18">
        <v>8.6404673335117119E-3</v>
      </c>
      <c r="AQ18">
        <v>9.4072101787821237E-3</v>
      </c>
      <c r="AS18">
        <v>4.0408976058822939E-3</v>
      </c>
      <c r="AT18">
        <v>3.4718206205668926E-3</v>
      </c>
      <c r="AU18">
        <v>3.3302069144939758E-3</v>
      </c>
      <c r="AV18">
        <v>3.4772912249464842E-3</v>
      </c>
      <c r="AW18">
        <v>3.4116889166866836E-3</v>
      </c>
      <c r="AX18">
        <v>2.9936624138620811E-3</v>
      </c>
      <c r="AY18">
        <v>3.5149402158553352E-3</v>
      </c>
      <c r="AZ18">
        <v>2.882606512947358E-3</v>
      </c>
      <c r="BA18">
        <v>3.5488012967537048E-3</v>
      </c>
      <c r="BB18">
        <v>3.1873771515241386E-3</v>
      </c>
      <c r="BC18">
        <v>3.824197609481203E-3</v>
      </c>
      <c r="BD18">
        <v>4.0686953970448438E-3</v>
      </c>
    </row>
    <row r="20" spans="1:83" ht="15">
      <c r="A20" s="90"/>
      <c r="B20" s="90"/>
      <c r="C20" s="90"/>
      <c r="D20" s="90"/>
      <c r="E20" s="90"/>
      <c r="F20" s="90" t="s">
        <v>477</v>
      </c>
      <c r="G20" s="90" t="s">
        <v>466</v>
      </c>
      <c r="H20" s="90" t="s">
        <v>188</v>
      </c>
      <c r="I20" s="90">
        <v>1000</v>
      </c>
      <c r="J20" s="90"/>
      <c r="K20" s="92" t="str">
        <f t="shared" ref="K20:AD20" si="0">CONCATENATE("aMW_",K$1)</f>
        <v>aMW_0.0252330819023015</v>
      </c>
      <c r="L20" s="326" t="str">
        <f t="shared" si="0"/>
        <v>aMW_0.0395450704580574</v>
      </c>
      <c r="M20" s="326" t="str">
        <f t="shared" si="0"/>
        <v>aMW_0.0788528704933665</v>
      </c>
      <c r="N20" s="326" t="str">
        <f t="shared" si="0"/>
        <v>aMW_0.137578545793301</v>
      </c>
      <c r="O20" s="326" t="str">
        <f t="shared" si="0"/>
        <v>aMW_0.213369038020322</v>
      </c>
      <c r="P20" s="326" t="str">
        <f t="shared" si="0"/>
        <v>aMW_0.297820503268765</v>
      </c>
      <c r="Q20" s="326" t="str">
        <f t="shared" si="0"/>
        <v>aMW_0.377907144056857</v>
      </c>
      <c r="R20" s="326" t="str">
        <f t="shared" si="0"/>
        <v>aMW_0.439568993062134</v>
      </c>
      <c r="S20" s="326" t="str">
        <f t="shared" si="0"/>
        <v>aMW_0.471961846550866</v>
      </c>
      <c r="T20" s="326" t="str">
        <f t="shared" si="0"/>
        <v>aMW_0.470545961011214</v>
      </c>
      <c r="U20" s="326" t="str">
        <f t="shared" si="0"/>
        <v>aMW_0.437858701586302</v>
      </c>
      <c r="V20" s="326" t="str">
        <f t="shared" si="0"/>
        <v>aMW_0.38197698479635</v>
      </c>
      <c r="W20" s="326" t="str">
        <f t="shared" si="0"/>
        <v>aMW_0.313625573752203</v>
      </c>
      <c r="X20" s="326" t="str">
        <f t="shared" si="0"/>
        <v>aMW_0.243199208801847</v>
      </c>
      <c r="Y20" s="326" t="str">
        <f t="shared" si="0"/>
        <v>aMW_0.178661818760852</v>
      </c>
      <c r="Z20" s="326" t="str">
        <f t="shared" si="0"/>
        <v>aMW_0.124688083313198</v>
      </c>
      <c r="AA20" s="326" t="str">
        <f t="shared" si="0"/>
        <v>aMW_0.0828760127088392</v>
      </c>
      <c r="AB20" s="326" t="str">
        <f t="shared" si="0"/>
        <v>aMW_0.0525810629722718</v>
      </c>
      <c r="AC20" s="326" t="str">
        <f t="shared" si="0"/>
        <v>aMW_0.0319098468246514</v>
      </c>
      <c r="AD20" s="326" t="str">
        <f t="shared" si="0"/>
        <v>aMW_0.018558235082436</v>
      </c>
      <c r="AE20" s="327" t="s">
        <v>184</v>
      </c>
      <c r="AF20" s="328" t="s">
        <v>478</v>
      </c>
      <c r="AG20" s="329" t="s">
        <v>479</v>
      </c>
      <c r="AH20" s="329" t="s">
        <v>480</v>
      </c>
      <c r="AI20" s="329" t="s">
        <v>481</v>
      </c>
      <c r="AJ20" s="329" t="s">
        <v>482</v>
      </c>
      <c r="AK20" s="329" t="s">
        <v>483</v>
      </c>
      <c r="AL20" s="329" t="s">
        <v>484</v>
      </c>
      <c r="AM20" s="329" t="s">
        <v>485</v>
      </c>
      <c r="AN20" s="329" t="s">
        <v>486</v>
      </c>
      <c r="AO20" s="329" t="s">
        <v>487</v>
      </c>
      <c r="AP20" s="329" t="s">
        <v>488</v>
      </c>
      <c r="AQ20" s="329" t="s">
        <v>489</v>
      </c>
      <c r="AR20" s="250"/>
      <c r="AS20" s="250" t="s">
        <v>478</v>
      </c>
      <c r="AT20" s="250" t="s">
        <v>479</v>
      </c>
      <c r="AU20" s="250" t="s">
        <v>480</v>
      </c>
      <c r="AV20" s="250" t="s">
        <v>481</v>
      </c>
      <c r="AW20" s="250" t="s">
        <v>482</v>
      </c>
      <c r="AX20" s="250" t="s">
        <v>483</v>
      </c>
      <c r="AY20" s="250" t="s">
        <v>484</v>
      </c>
      <c r="AZ20" s="250" t="s">
        <v>485</v>
      </c>
      <c r="BA20" s="250" t="s">
        <v>486</v>
      </c>
      <c r="BB20" s="250" t="s">
        <v>487</v>
      </c>
      <c r="BC20" s="250" t="s">
        <v>488</v>
      </c>
      <c r="BD20" s="391" t="s">
        <v>489</v>
      </c>
      <c r="BE20" s="335"/>
      <c r="BF20" s="335"/>
      <c r="BG20" s="392"/>
      <c r="BH20" s="393"/>
      <c r="BI20" s="393"/>
      <c r="BJ20" s="393"/>
      <c r="BK20" s="393"/>
      <c r="BL20" s="393"/>
      <c r="BM20" s="393"/>
      <c r="BN20" s="393"/>
      <c r="BO20" s="393"/>
      <c r="BP20" s="393"/>
      <c r="BQ20" s="393"/>
      <c r="BR20" s="393"/>
      <c r="BS20" s="394"/>
      <c r="BT20" s="394"/>
      <c r="BU20" s="394"/>
      <c r="BV20" s="394"/>
      <c r="BW20" s="394"/>
      <c r="BX20" s="394"/>
      <c r="BY20" s="394"/>
      <c r="BZ20" s="394"/>
      <c r="CA20" s="394"/>
      <c r="CB20" s="394"/>
      <c r="CC20" s="394"/>
      <c r="CD20" s="394"/>
      <c r="CE20" s="394"/>
    </row>
    <row r="21" spans="1:83">
      <c r="A21" t="s">
        <v>783</v>
      </c>
      <c r="B21" t="s">
        <v>179</v>
      </c>
      <c r="C21" t="s">
        <v>332</v>
      </c>
      <c r="D21" t="s">
        <v>750</v>
      </c>
      <c r="E21" t="s">
        <v>784</v>
      </c>
      <c r="F21">
        <v>2.324937496695904E-5</v>
      </c>
      <c r="G21">
        <v>0.12367585487615354</v>
      </c>
      <c r="H21">
        <v>68.450215737357013</v>
      </c>
      <c r="J21" t="s">
        <v>502</v>
      </c>
      <c r="K21">
        <v>2.5233081902301453E-2</v>
      </c>
      <c r="L21">
        <v>3.9545070458057392E-2</v>
      </c>
      <c r="M21">
        <v>7.8852870493366464E-2</v>
      </c>
      <c r="N21">
        <v>0.1375785457933012</v>
      </c>
      <c r="O21">
        <v>0.21336903802032192</v>
      </c>
      <c r="P21">
        <v>0.29782050326876519</v>
      </c>
      <c r="Q21">
        <v>0.37790714405685688</v>
      </c>
      <c r="R21">
        <v>0.43956899306213409</v>
      </c>
      <c r="S21">
        <v>0.47196184655086648</v>
      </c>
      <c r="T21">
        <v>0.47054596101121399</v>
      </c>
      <c r="U21">
        <v>0.43785870158630208</v>
      </c>
      <c r="V21">
        <v>0.38197698479634984</v>
      </c>
      <c r="W21">
        <v>0.31362557375220274</v>
      </c>
      <c r="X21">
        <v>0.24319920880184726</v>
      </c>
      <c r="Y21">
        <v>0.17866181876085233</v>
      </c>
      <c r="Z21">
        <v>0.12468808331319836</v>
      </c>
      <c r="AA21">
        <v>8.2876012708839167E-2</v>
      </c>
      <c r="AB21">
        <v>5.2581062972271768E-2</v>
      </c>
      <c r="AC21">
        <v>3.1909846824651381E-2</v>
      </c>
      <c r="AD21">
        <v>1.8558235082435957E-2</v>
      </c>
      <c r="AE21">
        <v>4.3081640490284805</v>
      </c>
      <c r="AF21">
        <v>7.7551110544897672E-3</v>
      </c>
      <c r="AG21">
        <v>6.9731028267153846E-3</v>
      </c>
      <c r="AH21">
        <v>8.0242487400857473E-3</v>
      </c>
      <c r="AI21">
        <v>7.4651268008822909E-3</v>
      </c>
      <c r="AJ21">
        <v>7.6214523345385973E-3</v>
      </c>
      <c r="AK21">
        <v>7.5442061298168521E-3</v>
      </c>
      <c r="AL21">
        <v>7.167124604220719E-3</v>
      </c>
      <c r="AM21">
        <v>7.4678716744599229E-3</v>
      </c>
      <c r="AN21">
        <v>6.9773792576091186E-3</v>
      </c>
      <c r="AO21">
        <v>7.9555381934164476E-3</v>
      </c>
      <c r="AP21">
        <v>7.040218765811462E-3</v>
      </c>
      <c r="AQ21">
        <v>7.6649578174699702E-3</v>
      </c>
      <c r="AS21">
        <v>3.2925074602524764E-3</v>
      </c>
      <c r="AT21">
        <v>2.8288257730744999E-3</v>
      </c>
      <c r="AU21">
        <v>2.7134394828996775E-3</v>
      </c>
      <c r="AV21">
        <v>2.8332831999852127E-3</v>
      </c>
      <c r="AW21">
        <v>2.7798306974915212E-3</v>
      </c>
      <c r="AX21">
        <v>2.4392243487610533E-3</v>
      </c>
      <c r="AY21">
        <v>2.8639594495536063E-3</v>
      </c>
      <c r="AZ21">
        <v>2.3487364379229988E-3</v>
      </c>
      <c r="BA21">
        <v>2.8915493249584679E-3</v>
      </c>
      <c r="BB21">
        <v>2.597062354352862E-3</v>
      </c>
      <c r="BC21">
        <v>3.1159411563331041E-3</v>
      </c>
      <c r="BD21">
        <v>3.3151569910517729E-3</v>
      </c>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395"/>
      <c r="CA21" s="395"/>
      <c r="CB21" s="395"/>
      <c r="CC21" s="395"/>
      <c r="CD21" s="395"/>
      <c r="CE21" s="395"/>
    </row>
    <row r="22" spans="1:83">
      <c r="A22" t="s">
        <v>783</v>
      </c>
      <c r="B22" t="s">
        <v>179</v>
      </c>
      <c r="C22" t="s">
        <v>332</v>
      </c>
      <c r="D22" t="s">
        <v>750</v>
      </c>
      <c r="E22" t="s">
        <v>784</v>
      </c>
      <c r="F22">
        <v>7.8037321595196869E-5</v>
      </c>
      <c r="G22">
        <v>0.41512223336099691</v>
      </c>
      <c r="H22">
        <v>75.005858154729395</v>
      </c>
      <c r="J22" t="s">
        <v>503</v>
      </c>
      <c r="K22">
        <v>4.2502212805600174E-2</v>
      </c>
      <c r="L22">
        <v>6.6609104925368243E-2</v>
      </c>
      <c r="M22">
        <v>0.13281855522118433</v>
      </c>
      <c r="N22">
        <v>0.23173517422216144</v>
      </c>
      <c r="O22">
        <v>0.3593955068658809</v>
      </c>
      <c r="P22">
        <v>0.50164424848339639</v>
      </c>
      <c r="Q22">
        <v>0.63654094730284072</v>
      </c>
      <c r="R22">
        <v>0.74040321187108771</v>
      </c>
      <c r="S22">
        <v>0.79496523317666423</v>
      </c>
      <c r="T22">
        <v>0.79258033747713441</v>
      </c>
      <c r="U22">
        <v>0.73752242336705676</v>
      </c>
      <c r="V22">
        <v>0.64339612408483549</v>
      </c>
      <c r="W22">
        <v>0.52826606470447823</v>
      </c>
      <c r="X22">
        <v>0.4096409850636174</v>
      </c>
      <c r="Y22">
        <v>0.30093520365884152</v>
      </c>
      <c r="Z22">
        <v>0.21002267863350466</v>
      </c>
      <c r="AA22">
        <v>0.13959507373173607</v>
      </c>
      <c r="AB22">
        <v>8.8566729052162507E-2</v>
      </c>
      <c r="AC22">
        <v>5.3748452352613274E-2</v>
      </c>
      <c r="AD22">
        <v>3.1259204080739199E-2</v>
      </c>
      <c r="AE22">
        <v>7.2566048777634222</v>
      </c>
      <c r="AF22">
        <v>2.6030295275711723E-2</v>
      </c>
      <c r="AG22">
        <v>2.3405457935024215E-2</v>
      </c>
      <c r="AH22">
        <v>2.6933665114861751E-2</v>
      </c>
      <c r="AI22">
        <v>2.5056953218625461E-2</v>
      </c>
      <c r="AJ22">
        <v>2.5581665214574383E-2</v>
      </c>
      <c r="AK22">
        <v>2.5322385688632456E-2</v>
      </c>
      <c r="AL22">
        <v>2.4056698661674848E-2</v>
      </c>
      <c r="AM22">
        <v>2.5066166480591436E-2</v>
      </c>
      <c r="AN22">
        <v>2.3419811921460764E-2</v>
      </c>
      <c r="AO22">
        <v>2.6703035816868399E-2</v>
      </c>
      <c r="AP22">
        <v>2.3630734878204305E-2</v>
      </c>
      <c r="AQ22">
        <v>2.5727692854779539E-2</v>
      </c>
      <c r="AS22">
        <v>1.1051413807702646E-2</v>
      </c>
      <c r="AT22">
        <v>9.4950503789423026E-3</v>
      </c>
      <c r="AU22">
        <v>9.1077523527869336E-3</v>
      </c>
      <c r="AV22">
        <v>9.5100118846951562E-3</v>
      </c>
      <c r="AW22">
        <v>9.3305967334019989E-3</v>
      </c>
      <c r="AX22">
        <v>8.1873398840880043E-3</v>
      </c>
      <c r="AY22">
        <v>9.6129777646943113E-3</v>
      </c>
      <c r="AZ22">
        <v>7.8836141190477757E-3</v>
      </c>
      <c r="BA22">
        <v>9.705584124340555E-3</v>
      </c>
      <c r="BB22">
        <v>8.7171285437752932E-3</v>
      </c>
      <c r="BC22">
        <v>1.0458762974662486E-2</v>
      </c>
      <c r="BD22">
        <v>1.1127437731850152E-2</v>
      </c>
    </row>
    <row r="23" spans="1:83">
      <c r="A23" t="s">
        <v>783</v>
      </c>
      <c r="B23" t="s">
        <v>179</v>
      </c>
      <c r="C23" t="s">
        <v>332</v>
      </c>
      <c r="D23" t="s">
        <v>750</v>
      </c>
      <c r="E23" t="s">
        <v>784</v>
      </c>
      <c r="F23">
        <v>5.3555736501840944E-5</v>
      </c>
      <c r="G23">
        <v>0.2848915940665197</v>
      </c>
      <c r="H23">
        <v>68.323547872670318</v>
      </c>
      <c r="J23" t="s">
        <v>504</v>
      </c>
      <c r="K23">
        <v>2.8152302704647615E-2</v>
      </c>
      <c r="L23">
        <v>4.4120048368340978E-2</v>
      </c>
      <c r="M23">
        <v>8.7975376446471951E-2</v>
      </c>
      <c r="N23">
        <v>0.15349503805498196</v>
      </c>
      <c r="O23">
        <v>0.23805374901904863</v>
      </c>
      <c r="P23">
        <v>0.33227542288078793</v>
      </c>
      <c r="Q23">
        <v>0.42162730477909449</v>
      </c>
      <c r="R23">
        <v>0.49042282667555009</v>
      </c>
      <c r="S23">
        <v>0.52656321651825577</v>
      </c>
      <c r="T23">
        <v>0.52498352686870098</v>
      </c>
      <c r="U23">
        <v>0.48851467120222242</v>
      </c>
      <c r="V23">
        <v>0.42616798629003821</v>
      </c>
      <c r="W23">
        <v>0.34990898544919707</v>
      </c>
      <c r="X23">
        <v>0.27133497882777213</v>
      </c>
      <c r="Y23">
        <v>0.19933124391989757</v>
      </c>
      <c r="Z23">
        <v>0.139113275131696</v>
      </c>
      <c r="AA23">
        <v>9.2463956870867267E-2</v>
      </c>
      <c r="AB23">
        <v>5.8664177727434895E-2</v>
      </c>
      <c r="AC23">
        <v>3.5601504031284779E-2</v>
      </c>
      <c r="AD23">
        <v>2.0705241386193729E-2</v>
      </c>
      <c r="AE23">
        <v>4.8065764966453832</v>
      </c>
      <c r="AF23">
        <v>1.7864165585828307E-2</v>
      </c>
      <c r="AG23">
        <v>1.6062782682052364E-2</v>
      </c>
      <c r="AH23">
        <v>1.8484133520148178E-2</v>
      </c>
      <c r="AI23">
        <v>1.7196176863638744E-2</v>
      </c>
      <c r="AJ23">
        <v>1.7556278118012459E-2</v>
      </c>
      <c r="AK23">
        <v>1.7378338823226071E-2</v>
      </c>
      <c r="AL23">
        <v>1.6509718533294027E-2</v>
      </c>
      <c r="AM23">
        <v>1.7202499774524024E-2</v>
      </c>
      <c r="AN23">
        <v>1.6072633587998809E-2</v>
      </c>
      <c r="AO23">
        <v>1.8325856407858141E-2</v>
      </c>
      <c r="AP23">
        <v>1.6217386560840992E-2</v>
      </c>
      <c r="AQ23">
        <v>1.7656494497315954E-2</v>
      </c>
      <c r="AS23">
        <v>7.58440440752593E-3</v>
      </c>
      <c r="AT23">
        <v>6.5162976608058986E-3</v>
      </c>
      <c r="AU23">
        <v>6.2505013647200939E-3</v>
      </c>
      <c r="AV23">
        <v>6.5265654973152938E-3</v>
      </c>
      <c r="AW23">
        <v>6.4034358156363465E-3</v>
      </c>
      <c r="AX23">
        <v>5.6188373526932806E-3</v>
      </c>
      <c r="AY23">
        <v>6.597229295421024E-3</v>
      </c>
      <c r="AZ23">
        <v>5.4103953315063858E-3</v>
      </c>
      <c r="BA23">
        <v>6.660783524272392E-3</v>
      </c>
      <c r="BB23">
        <v>5.9824226382961931E-3</v>
      </c>
      <c r="BC23">
        <v>7.1776778412742138E-3</v>
      </c>
      <c r="BD23">
        <v>7.6365783823145574E-3</v>
      </c>
    </row>
    <row r="24" spans="1:83">
      <c r="A24" t="s">
        <v>783</v>
      </c>
      <c r="B24" t="s">
        <v>179</v>
      </c>
      <c r="C24" t="s">
        <v>332</v>
      </c>
      <c r="D24" t="s">
        <v>750</v>
      </c>
      <c r="E24" t="s">
        <v>784</v>
      </c>
      <c r="F24">
        <v>1.8921019897327204E-4</v>
      </c>
      <c r="G24">
        <v>1.0065102026425481</v>
      </c>
      <c r="H24">
        <v>9.5833976838980899</v>
      </c>
      <c r="J24" t="s">
        <v>785</v>
      </c>
      <c r="K24">
        <v>7.4751735468098962E-2</v>
      </c>
      <c r="L24">
        <v>0.11696227695631788</v>
      </c>
      <c r="M24">
        <v>0.23284850096463763</v>
      </c>
      <c r="N24">
        <v>0.40561044625535064</v>
      </c>
      <c r="O24">
        <v>0.62804721498178462</v>
      </c>
      <c r="P24">
        <v>0.87522147691001528</v>
      </c>
      <c r="Q24">
        <v>1.1087942194206561</v>
      </c>
      <c r="R24">
        <v>1.2876427270132076</v>
      </c>
      <c r="S24">
        <v>1.3803133835819421</v>
      </c>
      <c r="T24">
        <v>1.3739639420174652</v>
      </c>
      <c r="U24">
        <v>1.2764674606919073</v>
      </c>
      <c r="V24">
        <v>1.1117712465761327</v>
      </c>
      <c r="W24">
        <v>0.91136466963449081</v>
      </c>
      <c r="X24">
        <v>0.70557852723102343</v>
      </c>
      <c r="Y24">
        <v>0.51750842758319349</v>
      </c>
      <c r="Z24">
        <v>0.36058952217141627</v>
      </c>
      <c r="AA24">
        <v>0.23928720691295183</v>
      </c>
      <c r="AB24">
        <v>0.1515732182116426</v>
      </c>
      <c r="AC24">
        <v>9.1837553900443569E-2</v>
      </c>
      <c r="AD24">
        <v>5.3325475672290033E-2</v>
      </c>
      <c r="AE24">
        <v>12.37913498607044</v>
      </c>
      <c r="AF24">
        <v>6.3113357144661139E-2</v>
      </c>
      <c r="AG24">
        <v>5.6749145952480436E-2</v>
      </c>
      <c r="AH24">
        <v>6.5303678179750982E-2</v>
      </c>
      <c r="AI24">
        <v>6.0753380654877565E-2</v>
      </c>
      <c r="AJ24">
        <v>6.2025603472469354E-2</v>
      </c>
      <c r="AK24">
        <v>6.1396951313600442E-2</v>
      </c>
      <c r="AL24">
        <v>5.8328151804427165E-2</v>
      </c>
      <c r="AM24">
        <v>6.0775719237162816E-2</v>
      </c>
      <c r="AN24">
        <v>5.678394879519981E-2</v>
      </c>
      <c r="AO24">
        <v>6.4744491697304174E-2</v>
      </c>
      <c r="AP24">
        <v>5.7295355053099011E-2</v>
      </c>
      <c r="AQ24">
        <v>6.2379663789943335E-2</v>
      </c>
      <c r="AS24">
        <v>2.6795386652789542E-2</v>
      </c>
      <c r="AT24">
        <v>2.3021809753802365E-2</v>
      </c>
      <c r="AU24">
        <v>2.2082762448066496E-2</v>
      </c>
      <c r="AV24">
        <v>2.3058085594932866E-2</v>
      </c>
      <c r="AW24">
        <v>2.2623073529153721E-2</v>
      </c>
      <c r="AX24">
        <v>1.9851119654847878E-2</v>
      </c>
      <c r="AY24">
        <v>2.3307737866997736E-2</v>
      </c>
      <c r="AZ24">
        <v>1.9114702626920204E-2</v>
      </c>
      <c r="BA24">
        <v>2.353227232533997E-2</v>
      </c>
      <c r="BB24">
        <v>2.1135651410476262E-2</v>
      </c>
      <c r="BC24">
        <v>2.5358438539387022E-2</v>
      </c>
      <c r="BD24">
        <v>2.6979715144857676E-2</v>
      </c>
    </row>
    <row r="25" spans="1:83">
      <c r="A25" t="s">
        <v>783</v>
      </c>
      <c r="B25" t="s">
        <v>179</v>
      </c>
      <c r="C25" t="s">
        <v>332</v>
      </c>
      <c r="D25" t="s">
        <v>750</v>
      </c>
      <c r="E25" t="s">
        <v>784</v>
      </c>
      <c r="F25">
        <v>2.3229957882234747E-4</v>
      </c>
      <c r="G25">
        <v>1.2357256502187177</v>
      </c>
      <c r="H25">
        <v>6.0459335408393819</v>
      </c>
      <c r="J25" t="s">
        <v>491</v>
      </c>
      <c r="K25">
        <v>0.13860561233829263</v>
      </c>
      <c r="L25">
        <v>0.21687293166497629</v>
      </c>
      <c r="M25">
        <v>0.43175063235863492</v>
      </c>
      <c r="N25">
        <v>0.75208801403712422</v>
      </c>
      <c r="O25">
        <v>1.1645330809350829</v>
      </c>
      <c r="P25">
        <v>1.6228467202678933</v>
      </c>
      <c r="Q25">
        <v>2.0559402504513873</v>
      </c>
      <c r="R25">
        <v>2.3875634128491958</v>
      </c>
      <c r="S25">
        <v>2.5593945150847102</v>
      </c>
      <c r="T25">
        <v>2.547621300315321</v>
      </c>
      <c r="U25">
        <v>2.3668420928449483</v>
      </c>
      <c r="V25">
        <v>2.0614602918156262</v>
      </c>
      <c r="W25">
        <v>1.6898638848603422</v>
      </c>
      <c r="X25">
        <v>1.3082926196588787</v>
      </c>
      <c r="Y25">
        <v>0.95957066476412223</v>
      </c>
      <c r="Z25">
        <v>0.66860964779434229</v>
      </c>
      <c r="AA25">
        <v>0.44368936227632544</v>
      </c>
      <c r="AB25">
        <v>0.2810489762244533</v>
      </c>
      <c r="AC25">
        <v>0.17028635274232856</v>
      </c>
      <c r="AD25">
        <v>9.8876770719828422E-2</v>
      </c>
      <c r="AE25">
        <v>22.953548492461646</v>
      </c>
      <c r="AF25">
        <v>7.7486342503345879E-2</v>
      </c>
      <c r="AG25">
        <v>6.9672791291506136E-2</v>
      </c>
      <c r="AH25">
        <v>8.0175471613182989E-2</v>
      </c>
      <c r="AI25">
        <v>7.4588921816817186E-2</v>
      </c>
      <c r="AJ25">
        <v>7.6150871575860035E-2</v>
      </c>
      <c r="AK25">
        <v>7.5379054662588707E-2</v>
      </c>
      <c r="AL25">
        <v>7.1611388662872269E-2</v>
      </c>
      <c r="AM25">
        <v>7.4616347628345903E-2</v>
      </c>
      <c r="AN25">
        <v>6.9715519885151733E-2</v>
      </c>
      <c r="AO25">
        <v>7.9488939993532334E-2</v>
      </c>
      <c r="AP25">
        <v>7.0343390153042945E-2</v>
      </c>
      <c r="AQ25">
        <v>7.6585563062224013E-2</v>
      </c>
      <c r="AS25">
        <v>3.2897576703591162E-2</v>
      </c>
      <c r="AT25">
        <v>2.8264632343058614E-2</v>
      </c>
      <c r="AU25">
        <v>2.7111733108237151E-2</v>
      </c>
      <c r="AV25">
        <v>2.8309169385257019E-2</v>
      </c>
      <c r="AW25">
        <v>2.777509077738341E-2</v>
      </c>
      <c r="AX25">
        <v>2.4371871918091457E-2</v>
      </c>
      <c r="AY25">
        <v>2.8615675683371027E-2</v>
      </c>
      <c r="AZ25">
        <v>2.3467748533868554E-2</v>
      </c>
      <c r="BA25">
        <v>2.8891344016193681E-2</v>
      </c>
      <c r="BB25">
        <v>2.5948933764839772E-2</v>
      </c>
      <c r="BC25">
        <v>3.1133388285924914E-2</v>
      </c>
      <c r="BD25">
        <v>3.3123882850430712E-2</v>
      </c>
    </row>
    <row r="26" spans="1:83">
      <c r="A26" t="s">
        <v>783</v>
      </c>
      <c r="B26" t="s">
        <v>179</v>
      </c>
      <c r="C26" t="s">
        <v>332</v>
      </c>
      <c r="D26" t="s">
        <v>750</v>
      </c>
      <c r="E26" t="s">
        <v>784</v>
      </c>
      <c r="F26">
        <v>7.9780559418868961E-5</v>
      </c>
      <c r="G26">
        <v>0.42439544730337114</v>
      </c>
      <c r="H26">
        <v>20.103111884906212</v>
      </c>
      <c r="J26" t="s">
        <v>492</v>
      </c>
      <c r="K26">
        <v>2.2123865454027079E-2</v>
      </c>
      <c r="L26">
        <v>3.4616690333330626E-2</v>
      </c>
      <c r="M26">
        <v>6.8914907115594615E-2</v>
      </c>
      <c r="N26">
        <v>0.12004632245001008</v>
      </c>
      <c r="O26">
        <v>0.1858797256815955</v>
      </c>
      <c r="P26">
        <v>0.25903455052084406</v>
      </c>
      <c r="Q26">
        <v>0.32816380747620694</v>
      </c>
      <c r="R26">
        <v>0.38109662962211915</v>
      </c>
      <c r="S26">
        <v>0.40852386090476922</v>
      </c>
      <c r="T26">
        <v>0.40664465114460724</v>
      </c>
      <c r="U26">
        <v>0.37778914669938629</v>
      </c>
      <c r="V26">
        <v>0.32904490204649767</v>
      </c>
      <c r="W26">
        <v>0.26973165511524522</v>
      </c>
      <c r="X26">
        <v>0.20882624739022307</v>
      </c>
      <c r="Y26">
        <v>0.15316416069111585</v>
      </c>
      <c r="Z26">
        <v>0.1067217238863553</v>
      </c>
      <c r="AA26">
        <v>7.0820535970985338E-2</v>
      </c>
      <c r="AB26">
        <v>4.4860302776239321E-2</v>
      </c>
      <c r="AC26">
        <v>2.7180662407329192E-2</v>
      </c>
      <c r="AD26">
        <v>1.5782451626814947E-2</v>
      </c>
      <c r="AE26">
        <v>3.6637853978111372</v>
      </c>
      <c r="AF26">
        <v>2.661177339872263E-2</v>
      </c>
      <c r="AG26">
        <v>2.3928301091589079E-2</v>
      </c>
      <c r="AH26">
        <v>2.7535323177934414E-2</v>
      </c>
      <c r="AI26">
        <v>2.5616688326184283E-2</v>
      </c>
      <c r="AJ26">
        <v>2.6153121608553279E-2</v>
      </c>
      <c r="AK26">
        <v>2.5888050163215777E-2</v>
      </c>
      <c r="AL26">
        <v>2.4594089568518766E-2</v>
      </c>
      <c r="AM26">
        <v>2.5626107398734353E-2</v>
      </c>
      <c r="AN26">
        <v>2.394297572475677E-2</v>
      </c>
      <c r="AO26">
        <v>2.7299541964071951E-2</v>
      </c>
      <c r="AP26">
        <v>2.4158610386983793E-2</v>
      </c>
      <c r="AQ26">
        <v>2.6302411289286013E-2</v>
      </c>
      <c r="AS26">
        <v>1.1298285972979842E-2</v>
      </c>
      <c r="AT26">
        <v>9.7071556975244187E-3</v>
      </c>
      <c r="AU26">
        <v>9.3112060088769676E-3</v>
      </c>
      <c r="AV26">
        <v>9.7224514210873438E-3</v>
      </c>
      <c r="AW26">
        <v>9.5390284018730346E-3</v>
      </c>
      <c r="AX26">
        <v>8.3702328930925531E-3</v>
      </c>
      <c r="AY26">
        <v>9.8277174058683265E-3</v>
      </c>
      <c r="AZ26">
        <v>8.0597223457094819E-3</v>
      </c>
      <c r="BA26">
        <v>9.9223924540029502E-3</v>
      </c>
      <c r="BB26">
        <v>8.9118562443253856E-3</v>
      </c>
      <c r="BC26">
        <v>1.0692396200836346E-2</v>
      </c>
      <c r="BD26">
        <v>1.1376008158643362E-2</v>
      </c>
    </row>
    <row r="27" spans="1:83">
      <c r="A27" t="s">
        <v>783</v>
      </c>
      <c r="B27" t="s">
        <v>179</v>
      </c>
      <c r="C27" t="s">
        <v>332</v>
      </c>
      <c r="D27" t="s">
        <v>750</v>
      </c>
      <c r="E27" t="s">
        <v>784</v>
      </c>
      <c r="F27">
        <v>5.3571855087473207E-6</v>
      </c>
      <c r="G27">
        <v>2.8497733744070924E-2</v>
      </c>
      <c r="H27">
        <v>72.600335126113649</v>
      </c>
      <c r="J27" t="s">
        <v>493</v>
      </c>
      <c r="K27">
        <v>1.6747294626946658E-3</v>
      </c>
      <c r="L27">
        <v>2.620409680337023E-3</v>
      </c>
      <c r="M27">
        <v>5.2167115916149469E-3</v>
      </c>
      <c r="N27">
        <v>9.0872507570136599E-3</v>
      </c>
      <c r="O27">
        <v>1.4070699072159945E-2</v>
      </c>
      <c r="P27">
        <v>1.9608363398999202E-2</v>
      </c>
      <c r="Q27">
        <v>2.4841300816644853E-2</v>
      </c>
      <c r="R27">
        <v>2.8848202638369669E-2</v>
      </c>
      <c r="S27">
        <v>3.0924385591328013E-2</v>
      </c>
      <c r="T27">
        <v>3.0782133417607896E-2</v>
      </c>
      <c r="U27">
        <v>2.8597833230294467E-2</v>
      </c>
      <c r="V27">
        <v>2.4907997797755703E-2</v>
      </c>
      <c r="W27">
        <v>2.0418111418259059E-2</v>
      </c>
      <c r="X27">
        <v>1.5807701860016184E-2</v>
      </c>
      <c r="Y27">
        <v>1.1594200528444322E-2</v>
      </c>
      <c r="Z27">
        <v>8.0786070442094033E-3</v>
      </c>
      <c r="AA27">
        <v>5.36096363453736E-3</v>
      </c>
      <c r="AB27">
        <v>3.395829310248134E-3</v>
      </c>
      <c r="AC27">
        <v>2.0575182146041178E-3</v>
      </c>
      <c r="AD27">
        <v>1.1946979513098241E-3</v>
      </c>
      <c r="AE27">
        <v>0.2773407460579152</v>
      </c>
      <c r="AF27">
        <v>1.7869542135597804E-3</v>
      </c>
      <c r="AG27">
        <v>1.6067617072447577E-3</v>
      </c>
      <c r="AH27">
        <v>1.848969666069004E-3</v>
      </c>
      <c r="AI27">
        <v>1.7201352369895007E-3</v>
      </c>
      <c r="AJ27">
        <v>1.7561562003375875E-3</v>
      </c>
      <c r="AK27">
        <v>1.7383569154480296E-3</v>
      </c>
      <c r="AL27">
        <v>1.6514687437268194E-3</v>
      </c>
      <c r="AM27">
        <v>1.7207677183776813E-3</v>
      </c>
      <c r="AN27">
        <v>1.6077470943205664E-3</v>
      </c>
      <c r="AO27">
        <v>1.83313719119869E-3</v>
      </c>
      <c r="AP27">
        <v>1.622226748212201E-3</v>
      </c>
      <c r="AQ27">
        <v>1.7661808544645146E-3</v>
      </c>
      <c r="AS27">
        <v>7.5866870737704365E-4</v>
      </c>
      <c r="AT27">
        <v>6.5182588606457596E-4</v>
      </c>
      <c r="AU27">
        <v>6.2523825682675113E-4</v>
      </c>
      <c r="AV27">
        <v>6.5285297874497308E-4</v>
      </c>
      <c r="AW27">
        <v>6.4053630476244925E-4</v>
      </c>
      <c r="AX27">
        <v>5.6205284453182507E-4</v>
      </c>
      <c r="AY27">
        <v>6.5992148531274382E-4</v>
      </c>
      <c r="AZ27">
        <v>5.4120236896646628E-4</v>
      </c>
      <c r="BA27">
        <v>6.6627882097949269E-4</v>
      </c>
      <c r="BB27">
        <v>5.9842231586117048E-4</v>
      </c>
      <c r="BC27">
        <v>7.1798380956649159E-4</v>
      </c>
      <c r="BD27">
        <v>7.6388767512780499E-4</v>
      </c>
    </row>
    <row r="28" spans="1:83">
      <c r="A28" t="s">
        <v>783</v>
      </c>
      <c r="B28" t="s">
        <v>179</v>
      </c>
      <c r="C28" t="s">
        <v>332</v>
      </c>
      <c r="D28" t="s">
        <v>750</v>
      </c>
      <c r="E28" t="s">
        <v>784</v>
      </c>
      <c r="F28">
        <v>1.0514952932098688E-5</v>
      </c>
      <c r="G28">
        <v>0.114179434646312</v>
      </c>
      <c r="H28">
        <v>87.960293111858334</v>
      </c>
      <c r="J28" t="s">
        <v>506</v>
      </c>
      <c r="K28">
        <v>1.4778071539187672E-2</v>
      </c>
      <c r="L28">
        <v>2.3134514773928468E-2</v>
      </c>
      <c r="M28">
        <v>4.6079326526710741E-2</v>
      </c>
      <c r="N28">
        <v>8.030820225391469E-2</v>
      </c>
      <c r="O28">
        <v>0.12441168230504786</v>
      </c>
      <c r="P28">
        <v>0.17346223217063589</v>
      </c>
      <c r="Q28">
        <v>0.21986495620566443</v>
      </c>
      <c r="R28">
        <v>0.2554574281994248</v>
      </c>
      <c r="S28">
        <v>0.27398005680102289</v>
      </c>
      <c r="T28">
        <v>0.27285673856813869</v>
      </c>
      <c r="U28">
        <v>0.25362215754400896</v>
      </c>
      <c r="V28">
        <v>0.22100951836081847</v>
      </c>
      <c r="W28">
        <v>0.18126160651162038</v>
      </c>
      <c r="X28">
        <v>0.14040322638605113</v>
      </c>
      <c r="Y28">
        <v>0.10303084337948222</v>
      </c>
      <c r="Z28">
        <v>7.1825891845138157E-2</v>
      </c>
      <c r="AA28">
        <v>4.7687603792382065E-2</v>
      </c>
      <c r="AB28">
        <v>3.0222235665257606E-2</v>
      </c>
      <c r="AC28">
        <v>1.8320719260279471E-2</v>
      </c>
      <c r="AD28">
        <v>1.0643269181598351E-2</v>
      </c>
      <c r="AE28">
        <v>2.4707602554130452</v>
      </c>
      <c r="AF28">
        <v>8.5601800417661935E-3</v>
      </c>
      <c r="AG28">
        <v>7.852428451420675E-3</v>
      </c>
      <c r="AH28">
        <v>8.6422570003630208E-3</v>
      </c>
      <c r="AI28">
        <v>8.2151763844504171E-3</v>
      </c>
      <c r="AJ28">
        <v>8.4058880309851574E-3</v>
      </c>
      <c r="AK28">
        <v>8.0471026760579531E-3</v>
      </c>
      <c r="AL28">
        <v>7.1199936584139647E-3</v>
      </c>
      <c r="AM28">
        <v>8.3786535662772228E-3</v>
      </c>
      <c r="AN28">
        <v>8.6420014582591579E-3</v>
      </c>
      <c r="AO28">
        <v>8.8228044495565153E-3</v>
      </c>
      <c r="AP28">
        <v>7.3884119599479199E-3</v>
      </c>
      <c r="AQ28">
        <v>7.604401314533802E-3</v>
      </c>
      <c r="AS28">
        <v>2.4507005249087281E-3</v>
      </c>
      <c r="AT28">
        <v>1.8099829192867623E-3</v>
      </c>
      <c r="AU28">
        <v>1.4849267499739984E-3</v>
      </c>
      <c r="AV28">
        <v>1.1992489659343737E-3</v>
      </c>
      <c r="AW28">
        <v>1.0332597681775892E-3</v>
      </c>
      <c r="AX28">
        <v>9.0367397140339437E-4</v>
      </c>
      <c r="AY28">
        <v>8.8580434949158716E-4</v>
      </c>
      <c r="AZ28">
        <v>9.2664522486638563E-4</v>
      </c>
      <c r="BA28">
        <v>1.1922744522358348E-3</v>
      </c>
      <c r="BB28">
        <v>9.133300987017054E-4</v>
      </c>
      <c r="BC28">
        <v>1.4855288065408819E-3</v>
      </c>
      <c r="BD28">
        <v>2.214759822758755E-3</v>
      </c>
    </row>
    <row r="29" spans="1:83">
      <c r="A29" t="s">
        <v>783</v>
      </c>
      <c r="B29" t="s">
        <v>179</v>
      </c>
      <c r="C29" t="s">
        <v>332</v>
      </c>
      <c r="D29" t="s">
        <v>750</v>
      </c>
      <c r="E29" t="s">
        <v>784</v>
      </c>
      <c r="F29">
        <v>2.1440916875335303E-5</v>
      </c>
      <c r="G29">
        <v>0.1140556994609167</v>
      </c>
      <c r="H29">
        <v>82.616837725415991</v>
      </c>
      <c r="J29" t="s">
        <v>507</v>
      </c>
      <c r="K29">
        <v>7.4786544402643115E-3</v>
      </c>
      <c r="L29">
        <v>1.1707552042809426E-2</v>
      </c>
      <c r="M29">
        <v>2.3319102158867816E-2</v>
      </c>
      <c r="N29">
        <v>4.0641114220028828E-2</v>
      </c>
      <c r="O29">
        <v>6.2960311013797066E-2</v>
      </c>
      <c r="P29">
        <v>8.7783043234096636E-2</v>
      </c>
      <c r="Q29">
        <v>0.11126580532688334</v>
      </c>
      <c r="R29">
        <v>0.12927788477921695</v>
      </c>
      <c r="S29">
        <v>0.13865152587097765</v>
      </c>
      <c r="T29">
        <v>0.13808305461490666</v>
      </c>
      <c r="U29">
        <v>0.12834911981825325</v>
      </c>
      <c r="V29">
        <v>0.11184502737362355</v>
      </c>
      <c r="W29">
        <v>9.1730028156440144E-2</v>
      </c>
      <c r="X29">
        <v>7.1053060587443526E-2</v>
      </c>
      <c r="Y29">
        <v>5.2140231712973321E-2</v>
      </c>
      <c r="Z29">
        <v>3.6348519734064944E-2</v>
      </c>
      <c r="AA29">
        <v>2.4132993868770183E-2</v>
      </c>
      <c r="AB29">
        <v>1.5294394559759809E-2</v>
      </c>
      <c r="AC29">
        <v>9.2714619821265519E-3</v>
      </c>
      <c r="AD29">
        <v>5.3861785763329824E-3</v>
      </c>
      <c r="AE29">
        <v>1.2503635610353165</v>
      </c>
      <c r="AF29">
        <v>7.1518779199274789E-3</v>
      </c>
      <c r="AG29">
        <v>6.430698385795173E-3</v>
      </c>
      <c r="AH29">
        <v>7.4000806674458276E-3</v>
      </c>
      <c r="AI29">
        <v>6.8844501595859593E-3</v>
      </c>
      <c r="AJ29">
        <v>7.0286158748957541E-3</v>
      </c>
      <c r="AK29">
        <v>6.9573782843485752E-3</v>
      </c>
      <c r="AL29">
        <v>6.6096281337737171E-3</v>
      </c>
      <c r="AM29">
        <v>6.8869815225277558E-3</v>
      </c>
      <c r="AN29">
        <v>6.4346421735075729E-3</v>
      </c>
      <c r="AO29">
        <v>7.3367147867849924E-3</v>
      </c>
      <c r="AP29">
        <v>6.4925936958073402E-3</v>
      </c>
      <c r="AQ29">
        <v>7.068737273620603E-3</v>
      </c>
      <c r="AS29">
        <v>3.036398994253404E-3</v>
      </c>
      <c r="AT29">
        <v>2.6087848960022896E-3</v>
      </c>
      <c r="AU29">
        <v>2.5023739555057128E-3</v>
      </c>
      <c r="AV29">
        <v>2.6128956009139831E-3</v>
      </c>
      <c r="AW29">
        <v>2.5636009138794011E-3</v>
      </c>
      <c r="AX29">
        <v>2.2494887099719844E-3</v>
      </c>
      <c r="AY29">
        <v>2.6411856912057739E-3</v>
      </c>
      <c r="AZ29">
        <v>2.1660394225283979E-3</v>
      </c>
      <c r="BA29">
        <v>2.6666294816731382E-3</v>
      </c>
      <c r="BB29">
        <v>2.395049249232594E-3</v>
      </c>
      <c r="BC29">
        <v>2.8735669417487421E-3</v>
      </c>
      <c r="BD29">
        <v>3.0572867259805246E-3</v>
      </c>
    </row>
    <row r="30" spans="1:83">
      <c r="A30" t="s">
        <v>783</v>
      </c>
      <c r="B30" t="s">
        <v>179</v>
      </c>
      <c r="C30" t="s">
        <v>332</v>
      </c>
      <c r="D30" t="s">
        <v>750</v>
      </c>
      <c r="E30" t="s">
        <v>784</v>
      </c>
      <c r="F30">
        <v>9.3906018660048138E-6</v>
      </c>
      <c r="G30">
        <v>4.9953631666669059E-2</v>
      </c>
      <c r="H30">
        <v>74.444690070180542</v>
      </c>
      <c r="J30" t="s">
        <v>505</v>
      </c>
      <c r="K30">
        <v>1.2031572157170737E-2</v>
      </c>
      <c r="L30">
        <v>1.8842538370666202E-2</v>
      </c>
      <c r="M30">
        <v>3.7545641957389485E-2</v>
      </c>
      <c r="N30">
        <v>6.5461765393757518E-2</v>
      </c>
      <c r="O30">
        <v>0.10145264400724535</v>
      </c>
      <c r="P30">
        <v>0.14150817691418585</v>
      </c>
      <c r="Q30">
        <v>0.17943494120313169</v>
      </c>
      <c r="R30">
        <v>0.20856620390746008</v>
      </c>
      <c r="S30">
        <v>0.2237787019493872</v>
      </c>
      <c r="T30">
        <v>0.22295072075217445</v>
      </c>
      <c r="U30">
        <v>0.20731741621303212</v>
      </c>
      <c r="V30">
        <v>0.18073154905141328</v>
      </c>
      <c r="W30">
        <v>0.14828704661640707</v>
      </c>
      <c r="X30">
        <v>0.11490763242305398</v>
      </c>
      <c r="Y30">
        <v>8.4355507292802417E-2</v>
      </c>
      <c r="Z30">
        <v>5.8830374341073105E-2</v>
      </c>
      <c r="AA30">
        <v>3.9075134637340754E-2</v>
      </c>
      <c r="AB30">
        <v>2.4773990588570782E-2</v>
      </c>
      <c r="AC30">
        <v>1.5024025022935169E-2</v>
      </c>
      <c r="AD30">
        <v>8.7315877427039321E-3</v>
      </c>
      <c r="AE30">
        <v>2.0269768238713999</v>
      </c>
      <c r="AF30">
        <v>3.1323491682190164E-3</v>
      </c>
      <c r="AG30">
        <v>2.8164900135791379E-3</v>
      </c>
      <c r="AH30">
        <v>3.2410559552256179E-3</v>
      </c>
      <c r="AI30">
        <v>3.0152222916079948E-3</v>
      </c>
      <c r="AJ30">
        <v>3.0783633803531055E-3</v>
      </c>
      <c r="AK30">
        <v>3.0471630424845522E-3</v>
      </c>
      <c r="AL30">
        <v>2.8948569059569535E-3</v>
      </c>
      <c r="AM30">
        <v>3.0163309672165519E-3</v>
      </c>
      <c r="AN30">
        <v>2.8182172970002022E-3</v>
      </c>
      <c r="AO30">
        <v>3.2133032354779291E-3</v>
      </c>
      <c r="AP30">
        <v>2.843598659029176E-3</v>
      </c>
      <c r="AQ30">
        <v>3.0959355804564366E-3</v>
      </c>
      <c r="AS30">
        <v>1.3298691575159259E-3</v>
      </c>
      <c r="AT30">
        <v>1.1425845477991557E-3</v>
      </c>
      <c r="AU30">
        <v>1.0959791352507778E-3</v>
      </c>
      <c r="AV30">
        <v>1.1443849369074568E-3</v>
      </c>
      <c r="AW30">
        <v>1.1227950588839298E-3</v>
      </c>
      <c r="AX30">
        <v>9.8522152761666031E-4</v>
      </c>
      <c r="AY30">
        <v>1.1567753107066827E-3</v>
      </c>
      <c r="AZ30">
        <v>9.4867276251762772E-4</v>
      </c>
      <c r="BA30">
        <v>1.1679190741767946E-3</v>
      </c>
      <c r="BB30">
        <v>1.0489735154418532E-3</v>
      </c>
      <c r="BC30">
        <v>1.2585526655493594E-3</v>
      </c>
      <c r="BD30">
        <v>1.3390174776961577E-3</v>
      </c>
    </row>
    <row r="31" spans="1:83">
      <c r="A31" t="s">
        <v>783</v>
      </c>
      <c r="B31" t="s">
        <v>179</v>
      </c>
      <c r="C31" t="s">
        <v>332</v>
      </c>
      <c r="D31" t="s">
        <v>750</v>
      </c>
      <c r="E31" t="s">
        <v>784</v>
      </c>
      <c r="F31">
        <v>1.8574892904580788E-4</v>
      </c>
      <c r="G31">
        <v>0.98809785745715661</v>
      </c>
      <c r="H31">
        <v>22.614238448146263</v>
      </c>
      <c r="J31" t="s">
        <v>495</v>
      </c>
      <c r="K31">
        <v>2.8493411459779228E-2</v>
      </c>
      <c r="L31">
        <v>4.4385897107653935E-2</v>
      </c>
      <c r="M31">
        <v>8.7972848067370116E-2</v>
      </c>
      <c r="N31">
        <v>0.15256691176083662</v>
      </c>
      <c r="O31">
        <v>0.23519037041887189</v>
      </c>
      <c r="P31">
        <v>0.32630311991914268</v>
      </c>
      <c r="Q31">
        <v>0.41155722597801714</v>
      </c>
      <c r="R31">
        <v>0.4758287461015841</v>
      </c>
      <c r="S31">
        <v>0.5078190787241057</v>
      </c>
      <c r="T31">
        <v>0.50324870701558877</v>
      </c>
      <c r="U31">
        <v>0.46547150407561899</v>
      </c>
      <c r="V31">
        <v>0.40362197797157073</v>
      </c>
      <c r="W31">
        <v>0.32940301896338642</v>
      </c>
      <c r="X31">
        <v>0.2538965269498904</v>
      </c>
      <c r="Y31">
        <v>0.18539791657383103</v>
      </c>
      <c r="Z31">
        <v>0.12861053472726611</v>
      </c>
      <c r="AA31">
        <v>8.4968693276480461E-2</v>
      </c>
      <c r="AB31">
        <v>5.3584347750813277E-2</v>
      </c>
      <c r="AC31">
        <v>3.2323010464991128E-2</v>
      </c>
      <c r="AD31">
        <v>1.8685393632969397E-2</v>
      </c>
      <c r="AE31">
        <v>4.3376830142480367</v>
      </c>
      <c r="AF31">
        <v>6.1958808572271672E-2</v>
      </c>
      <c r="AG31">
        <v>5.5711019501789791E-2</v>
      </c>
      <c r="AH31">
        <v>6.4109061511818097E-2</v>
      </c>
      <c r="AI31">
        <v>5.9642003728086139E-2</v>
      </c>
      <c r="AJ31">
        <v>6.0890953452560015E-2</v>
      </c>
      <c r="AK31">
        <v>6.0273801386308397E-2</v>
      </c>
      <c r="AL31">
        <v>5.7261140201137505E-2</v>
      </c>
      <c r="AM31">
        <v>5.966393366504727E-2</v>
      </c>
      <c r="AN31">
        <v>5.5745185687322882E-2</v>
      </c>
      <c r="AO31">
        <v>6.3560104368836287E-2</v>
      </c>
      <c r="AP31">
        <v>5.6247236661464715E-2</v>
      </c>
      <c r="AQ31">
        <v>6.1238536855279767E-2</v>
      </c>
      <c r="AS31">
        <v>2.6305211881454009E-2</v>
      </c>
      <c r="AT31">
        <v>2.2600665977150595E-2</v>
      </c>
      <c r="AU31">
        <v>2.1678796900799015E-2</v>
      </c>
      <c r="AV31">
        <v>2.2636278215163081E-2</v>
      </c>
      <c r="AW31">
        <v>2.2209223934902562E-2</v>
      </c>
      <c r="AX31">
        <v>1.9487978112475084E-2</v>
      </c>
      <c r="AY31">
        <v>2.2881363535201531E-2</v>
      </c>
      <c r="AZ31">
        <v>1.8765032547114809E-2</v>
      </c>
      <c r="BA31">
        <v>2.3101790528023632E-2</v>
      </c>
      <c r="BB31">
        <v>2.0749011604475211E-2</v>
      </c>
      <c r="BC31">
        <v>2.4894550222583196E-2</v>
      </c>
      <c r="BD31">
        <v>2.6486168405891266E-2</v>
      </c>
    </row>
    <row r="32" spans="1:83">
      <c r="A32" t="s">
        <v>783</v>
      </c>
      <c r="B32" t="s">
        <v>179</v>
      </c>
      <c r="C32" t="s">
        <v>332</v>
      </c>
      <c r="D32" t="s">
        <v>750</v>
      </c>
      <c r="E32" t="s">
        <v>784</v>
      </c>
      <c r="F32">
        <v>1.8574892904580788E-4</v>
      </c>
      <c r="G32">
        <v>0.98809785745715661</v>
      </c>
      <c r="H32">
        <v>22.614238448146263</v>
      </c>
      <c r="J32" t="s">
        <v>496</v>
      </c>
      <c r="K32">
        <v>1.1929162239300628E-2</v>
      </c>
      <c r="L32">
        <v>1.8663028540710513E-2</v>
      </c>
      <c r="M32">
        <v>3.7149878091996741E-2</v>
      </c>
      <c r="N32">
        <v>6.4705428667954437E-2</v>
      </c>
      <c r="O32">
        <v>0.1001778074027759</v>
      </c>
      <c r="P32">
        <v>0.13958695541256869</v>
      </c>
      <c r="Q32">
        <v>0.17681758816020907</v>
      </c>
      <c r="R32">
        <v>0.20531351066810835</v>
      </c>
      <c r="S32">
        <v>0.22006323327450519</v>
      </c>
      <c r="T32">
        <v>0.21902453481344952</v>
      </c>
      <c r="U32">
        <v>0.20345802307518823</v>
      </c>
      <c r="V32">
        <v>0.17718548855548902</v>
      </c>
      <c r="W32">
        <v>0.14522873074665282</v>
      </c>
      <c r="X32">
        <v>0.11242252866252239</v>
      </c>
      <c r="Y32">
        <v>8.2446658977963064E-2</v>
      </c>
      <c r="Z32">
        <v>5.7440257523310757E-2</v>
      </c>
      <c r="AA32">
        <v>3.8112759671867148E-2</v>
      </c>
      <c r="AB32">
        <v>2.4139097465773817E-2</v>
      </c>
      <c r="AC32">
        <v>1.4624010998273953E-2</v>
      </c>
      <c r="AD32">
        <v>8.4904083053774886E-3</v>
      </c>
      <c r="AE32">
        <v>1.9709887098810737</v>
      </c>
      <c r="AF32">
        <v>6.1958808572271672E-2</v>
      </c>
      <c r="AG32">
        <v>5.5711019501789791E-2</v>
      </c>
      <c r="AH32">
        <v>6.4109061511818097E-2</v>
      </c>
      <c r="AI32">
        <v>5.9642003728086139E-2</v>
      </c>
      <c r="AJ32">
        <v>6.0890953452560015E-2</v>
      </c>
      <c r="AK32">
        <v>6.0273801386308397E-2</v>
      </c>
      <c r="AL32">
        <v>5.7261140201137505E-2</v>
      </c>
      <c r="AM32">
        <v>5.966393366504727E-2</v>
      </c>
      <c r="AN32">
        <v>5.5745185687322882E-2</v>
      </c>
      <c r="AO32">
        <v>6.3560104368836287E-2</v>
      </c>
      <c r="AP32">
        <v>5.6247236661464715E-2</v>
      </c>
      <c r="AQ32">
        <v>6.1238536855279767E-2</v>
      </c>
      <c r="AS32">
        <v>2.6305211881454009E-2</v>
      </c>
      <c r="AT32">
        <v>2.2600665977150595E-2</v>
      </c>
      <c r="AU32">
        <v>2.1678796900799015E-2</v>
      </c>
      <c r="AV32">
        <v>2.2636278215163081E-2</v>
      </c>
      <c r="AW32">
        <v>2.2209223934902562E-2</v>
      </c>
      <c r="AX32">
        <v>1.9487978112475084E-2</v>
      </c>
      <c r="AY32">
        <v>2.2881363535201531E-2</v>
      </c>
      <c r="AZ32">
        <v>1.8765032547114809E-2</v>
      </c>
      <c r="BA32">
        <v>2.3101790528023632E-2</v>
      </c>
      <c r="BB32">
        <v>2.0749011604475211E-2</v>
      </c>
      <c r="BC32">
        <v>2.4894550222583196E-2</v>
      </c>
      <c r="BD32">
        <v>2.6486168405891266E-2</v>
      </c>
    </row>
    <row r="33" spans="1:56">
      <c r="A33" t="s">
        <v>783</v>
      </c>
      <c r="B33" t="s">
        <v>179</v>
      </c>
      <c r="C33" t="s">
        <v>332</v>
      </c>
      <c r="D33" t="s">
        <v>750</v>
      </c>
      <c r="E33" t="s">
        <v>784</v>
      </c>
      <c r="F33">
        <v>4.0538184360117846E-4</v>
      </c>
      <c r="G33">
        <v>2.1564427486716466</v>
      </c>
      <c r="H33">
        <v>27.540932640005433</v>
      </c>
      <c r="J33" t="s">
        <v>497</v>
      </c>
      <c r="K33">
        <v>5.967256639984285E-2</v>
      </c>
      <c r="L33">
        <v>9.3357000892210315E-2</v>
      </c>
      <c r="M33">
        <v>0.18583271169599819</v>
      </c>
      <c r="N33">
        <v>0.32367226726938808</v>
      </c>
      <c r="O33">
        <v>0.50111371981669672</v>
      </c>
      <c r="P33">
        <v>0.69824784828282627</v>
      </c>
      <c r="Q33">
        <v>0.88448451437682207</v>
      </c>
      <c r="R33">
        <v>1.0270280387137907</v>
      </c>
      <c r="S33">
        <v>1.1008097330149889</v>
      </c>
      <c r="T33">
        <v>1.0956139110751584</v>
      </c>
      <c r="U33">
        <v>1.0177464391872257</v>
      </c>
      <c r="V33">
        <v>0.88632484149497859</v>
      </c>
      <c r="W33">
        <v>0.72646937855315896</v>
      </c>
      <c r="X33">
        <v>0.56236478906719134</v>
      </c>
      <c r="Y33">
        <v>0.41241820956206016</v>
      </c>
      <c r="Z33">
        <v>0.28733011692904797</v>
      </c>
      <c r="AA33">
        <v>0.19064927918476191</v>
      </c>
      <c r="AB33">
        <v>0.12074962746446101</v>
      </c>
      <c r="AC33">
        <v>7.3152854309549195E-2</v>
      </c>
      <c r="AD33">
        <v>4.247108415503606E-2</v>
      </c>
      <c r="AE33">
        <v>9.8593641619056669</v>
      </c>
      <c r="AF33">
        <v>0.13522003155219187</v>
      </c>
      <c r="AG33">
        <v>0.12158474296757432</v>
      </c>
      <c r="AH33">
        <v>0.13991278270462096</v>
      </c>
      <c r="AI33">
        <v>0.13016379449163548</v>
      </c>
      <c r="AJ33">
        <v>0.13288952510269889</v>
      </c>
      <c r="AK33">
        <v>0.13154264120040915</v>
      </c>
      <c r="AL33">
        <v>0.12496775459587263</v>
      </c>
      <c r="AM33">
        <v>0.13021165478521041</v>
      </c>
      <c r="AN33">
        <v>0.12165930787274698</v>
      </c>
      <c r="AO33">
        <v>0.13871472864410403</v>
      </c>
      <c r="AP33">
        <v>0.12275499305663944</v>
      </c>
      <c r="AQ33">
        <v>0.13364809744722614</v>
      </c>
      <c r="AS33">
        <v>5.7408973196252815E-2</v>
      </c>
      <c r="AT33">
        <v>4.9324104787556028E-2</v>
      </c>
      <c r="AU33">
        <v>4.7312200936211843E-2</v>
      </c>
      <c r="AV33">
        <v>4.9401825583979597E-2</v>
      </c>
      <c r="AW33">
        <v>4.8469814549842817E-2</v>
      </c>
      <c r="AX33">
        <v>4.2530918137063993E-2</v>
      </c>
      <c r="AY33">
        <v>4.9936704247276059E-2</v>
      </c>
      <c r="AZ33">
        <v>4.0953148576751912E-2</v>
      </c>
      <c r="BA33">
        <v>5.0417768128444666E-2</v>
      </c>
      <c r="BB33">
        <v>4.528302058231564E-2</v>
      </c>
      <c r="BC33">
        <v>5.4330319516211839E-2</v>
      </c>
      <c r="BD33">
        <v>5.7803896008808815E-2</v>
      </c>
    </row>
    <row r="34" spans="1:56">
      <c r="A34" t="s">
        <v>783</v>
      </c>
      <c r="B34" t="s">
        <v>179</v>
      </c>
      <c r="C34" t="s">
        <v>332</v>
      </c>
      <c r="D34" t="s">
        <v>750</v>
      </c>
      <c r="E34" t="s">
        <v>784</v>
      </c>
      <c r="F34">
        <v>2.3001261491618969E-5</v>
      </c>
      <c r="G34">
        <v>0.12235600665603641</v>
      </c>
      <c r="H34">
        <v>46.229060844235001</v>
      </c>
      <c r="J34" t="s">
        <v>499</v>
      </c>
      <c r="K34">
        <v>1.1175397497204354E-2</v>
      </c>
      <c r="L34">
        <v>1.7524527528413655E-2</v>
      </c>
      <c r="M34">
        <v>3.4964937324690935E-2</v>
      </c>
      <c r="N34">
        <v>6.1041787581445447E-2</v>
      </c>
      <c r="O34">
        <v>9.4726002453055513E-2</v>
      </c>
      <c r="P34">
        <v>0.13229812406603539</v>
      </c>
      <c r="Q34">
        <v>0.1679753199959888</v>
      </c>
      <c r="R34">
        <v>0.19550087576599823</v>
      </c>
      <c r="S34">
        <v>0.21003411009986434</v>
      </c>
      <c r="T34">
        <v>0.20953002823562467</v>
      </c>
      <c r="U34">
        <v>0.19509201242333543</v>
      </c>
      <c r="V34">
        <v>0.17029581764432933</v>
      </c>
      <c r="W34">
        <v>0.13990702985575057</v>
      </c>
      <c r="X34">
        <v>0.10855541898763095</v>
      </c>
      <c r="Y34">
        <v>7.9796231776255416E-2</v>
      </c>
      <c r="Z34">
        <v>5.5723304573994485E-2</v>
      </c>
      <c r="AA34">
        <v>3.7059712428677935E-2</v>
      </c>
      <c r="AB34">
        <v>2.352685307563129E-2</v>
      </c>
      <c r="AC34">
        <v>1.4286323512847934E-2</v>
      </c>
      <c r="AD34">
        <v>8.313687862909579E-3</v>
      </c>
      <c r="AE34">
        <v>1.9299642992306665</v>
      </c>
      <c r="AF34">
        <v>7.6723497949672138E-3</v>
      </c>
      <c r="AG34">
        <v>6.8986870293574433E-3</v>
      </c>
      <c r="AH34">
        <v>7.9386152878004601E-3</v>
      </c>
      <c r="AI34">
        <v>7.3854602052403229E-3</v>
      </c>
      <c r="AJ34">
        <v>7.5401174587172706E-3</v>
      </c>
      <c r="AK34">
        <v>7.4636956126863541E-3</v>
      </c>
      <c r="AL34">
        <v>7.0906382386183861E-3</v>
      </c>
      <c r="AM34">
        <v>7.3881757859821824E-3</v>
      </c>
      <c r="AN34">
        <v>6.9029178228896303E-3</v>
      </c>
      <c r="AO34">
        <v>7.8706380086943032E-3</v>
      </c>
      <c r="AP34">
        <v>6.9650867182780418E-3</v>
      </c>
      <c r="AQ34">
        <v>7.5831586583471871E-3</v>
      </c>
      <c r="AS34">
        <v>3.2573703664722209E-3</v>
      </c>
      <c r="AT34">
        <v>2.7986370133901406E-3</v>
      </c>
      <c r="AU34">
        <v>2.6844821065751963E-3</v>
      </c>
      <c r="AV34">
        <v>2.8030468713798199E-3</v>
      </c>
      <c r="AW34">
        <v>2.7501648051313251E-3</v>
      </c>
      <c r="AX34">
        <v>2.4131933508884087E-3</v>
      </c>
      <c r="AY34">
        <v>2.8333957490983622E-3</v>
      </c>
      <c r="AZ34">
        <v>2.3236711120336309E-3</v>
      </c>
      <c r="BA34">
        <v>2.8606911899267833E-3</v>
      </c>
      <c r="BB34">
        <v>2.5693469354511021E-3</v>
      </c>
      <c r="BC34">
        <v>3.0826883488769179E-3</v>
      </c>
      <c r="BD34">
        <v>3.2797781852336922E-3</v>
      </c>
    </row>
    <row r="35" spans="1:56">
      <c r="A35" t="s">
        <v>783</v>
      </c>
      <c r="B35" t="s">
        <v>179</v>
      </c>
      <c r="C35" t="s">
        <v>332</v>
      </c>
      <c r="D35" t="s">
        <v>750</v>
      </c>
      <c r="E35" t="s">
        <v>784</v>
      </c>
      <c r="F35">
        <v>1.4817660497524398E-5</v>
      </c>
      <c r="G35">
        <v>0.122195039062654</v>
      </c>
      <c r="H35">
        <v>50.092356838313059</v>
      </c>
      <c r="J35" t="s">
        <v>500</v>
      </c>
      <c r="K35">
        <v>6.8891506273726019E-3</v>
      </c>
      <c r="L35">
        <v>1.0806364222303145E-2</v>
      </c>
      <c r="M35">
        <v>2.1567341714872623E-2</v>
      </c>
      <c r="N35">
        <v>3.7663588020224938E-2</v>
      </c>
      <c r="O35">
        <v>5.8464769199483832E-2</v>
      </c>
      <c r="P35">
        <v>8.1678790457830844E-2</v>
      </c>
      <c r="Q35">
        <v>0.10373651908819746</v>
      </c>
      <c r="R35">
        <v>0.12077178446446427</v>
      </c>
      <c r="S35">
        <v>0.12978879169532645</v>
      </c>
      <c r="T35">
        <v>0.12951623523276626</v>
      </c>
      <c r="U35">
        <v>0.12062796772952575</v>
      </c>
      <c r="V35">
        <v>0.1053278178726319</v>
      </c>
      <c r="W35">
        <v>8.6558400727728829E-2</v>
      </c>
      <c r="X35">
        <v>6.7181821844822756E-2</v>
      </c>
      <c r="Y35">
        <v>4.9398440013962305E-2</v>
      </c>
      <c r="Z35">
        <v>3.4506292302952962E-2</v>
      </c>
      <c r="AA35">
        <v>2.2955886059411169E-2</v>
      </c>
      <c r="AB35">
        <v>1.4577613717345918E-2</v>
      </c>
      <c r="AC35">
        <v>8.854696095632884E-3</v>
      </c>
      <c r="AD35">
        <v>5.1543923864017897E-3</v>
      </c>
      <c r="AE35">
        <v>1.1965560235142547</v>
      </c>
      <c r="AF35">
        <v>5.791493985272682E-3</v>
      </c>
      <c r="AG35">
        <v>5.3198835020671674E-3</v>
      </c>
      <c r="AH35">
        <v>6.2098371887858803E-3</v>
      </c>
      <c r="AI35">
        <v>5.7536333081047632E-3</v>
      </c>
      <c r="AJ35">
        <v>6.0468733641925567E-3</v>
      </c>
      <c r="AK35">
        <v>6.1375323093469302E-3</v>
      </c>
      <c r="AL35">
        <v>5.9982717967843923E-3</v>
      </c>
      <c r="AM35">
        <v>6.491219934644717E-3</v>
      </c>
      <c r="AN35">
        <v>5.6908901711039987E-3</v>
      </c>
      <c r="AO35">
        <v>6.2829184989565186E-3</v>
      </c>
      <c r="AP35">
        <v>5.5236281049851977E-3</v>
      </c>
      <c r="AQ35">
        <v>5.7684590808975899E-3</v>
      </c>
      <c r="AS35">
        <v>4.5305868879029513E-3</v>
      </c>
      <c r="AT35">
        <v>3.9877959707615039E-3</v>
      </c>
      <c r="AU35">
        <v>4.060252837176143E-3</v>
      </c>
      <c r="AV35">
        <v>4.1656427829458061E-3</v>
      </c>
      <c r="AW35">
        <v>4.2807828443302267E-3</v>
      </c>
      <c r="AX35">
        <v>3.9977095405229514E-3</v>
      </c>
      <c r="AY35">
        <v>4.5791858507346263E-3</v>
      </c>
      <c r="AZ35">
        <v>4.1537749754886333E-3</v>
      </c>
      <c r="BA35">
        <v>4.4526399145718648E-3</v>
      </c>
      <c r="BB35">
        <v>4.0699662356853787E-3</v>
      </c>
      <c r="BC35">
        <v>4.3861784915572742E-3</v>
      </c>
      <c r="BD35">
        <v>4.515881485834229E-3</v>
      </c>
    </row>
    <row r="36" spans="1:56">
      <c r="A36" t="s">
        <v>783</v>
      </c>
      <c r="B36" t="s">
        <v>179</v>
      </c>
      <c r="C36" t="s">
        <v>332</v>
      </c>
      <c r="D36" t="s">
        <v>750</v>
      </c>
      <c r="E36" t="s">
        <v>784</v>
      </c>
      <c r="F36">
        <v>9.1872907910982293E-5</v>
      </c>
      <c r="G36">
        <v>0.75763738633758693</v>
      </c>
      <c r="H36">
        <v>25.049984802238548</v>
      </c>
      <c r="J36" t="s">
        <v>501</v>
      </c>
      <c r="K36">
        <v>5.236046402262149E-2</v>
      </c>
      <c r="L36">
        <v>8.2108255513460585E-2</v>
      </c>
      <c r="M36">
        <v>0.16382239140045665</v>
      </c>
      <c r="N36">
        <v>0.28600113090691731</v>
      </c>
      <c r="O36">
        <v>0.44382291052204098</v>
      </c>
      <c r="P36">
        <v>0.61986082975150292</v>
      </c>
      <c r="Q36">
        <v>0.78702039024012693</v>
      </c>
      <c r="R36">
        <v>0.91598679818747564</v>
      </c>
      <c r="S36">
        <v>0.98407984755427358</v>
      </c>
      <c r="T36">
        <v>0.98171805592014316</v>
      </c>
      <c r="U36">
        <v>0.91407113708020704</v>
      </c>
      <c r="V36">
        <v>0.79789269555731168</v>
      </c>
      <c r="W36">
        <v>0.65551109077833136</v>
      </c>
      <c r="X36">
        <v>0.508618338791472</v>
      </c>
      <c r="Y36">
        <v>0.37387195615248608</v>
      </c>
      <c r="Z36">
        <v>0.26108226442040311</v>
      </c>
      <c r="AA36">
        <v>0.17363711132386273</v>
      </c>
      <c r="AB36">
        <v>0.11023115234516367</v>
      </c>
      <c r="AC36">
        <v>6.6936189831022605E-2</v>
      </c>
      <c r="AD36">
        <v>3.8952400068997924E-2</v>
      </c>
      <c r="AE36">
        <v>9.0425263423597162</v>
      </c>
      <c r="AF36">
        <v>3.5908596614483125E-2</v>
      </c>
      <c r="AG36">
        <v>3.2984502996557877E-2</v>
      </c>
      <c r="AH36">
        <v>3.8502420829714307E-2</v>
      </c>
      <c r="AI36">
        <v>3.5673851695912695E-2</v>
      </c>
      <c r="AJ36">
        <v>3.7492007583157252E-2</v>
      </c>
      <c r="AK36">
        <v>3.8054113923821901E-2</v>
      </c>
      <c r="AL36">
        <v>3.7190666671238957E-2</v>
      </c>
      <c r="AM36">
        <v>4.024705866254543E-2</v>
      </c>
      <c r="AN36">
        <v>3.5284829795412247E-2</v>
      </c>
      <c r="AO36">
        <v>3.8955541784971903E-2</v>
      </c>
      <c r="AP36">
        <v>3.4247766461419631E-2</v>
      </c>
      <c r="AQ36">
        <v>3.5765774901922988E-2</v>
      </c>
      <c r="AS36">
        <v>2.8090682196730922E-2</v>
      </c>
      <c r="AT36">
        <v>2.472525349401599E-2</v>
      </c>
      <c r="AU36">
        <v>2.5174502754163545E-2</v>
      </c>
      <c r="AV36">
        <v>2.5827944691509681E-2</v>
      </c>
      <c r="AW36">
        <v>2.6541839591328928E-2</v>
      </c>
      <c r="AX36">
        <v>2.4786719909845586E-2</v>
      </c>
      <c r="AY36">
        <v>2.839200695967509E-2</v>
      </c>
      <c r="AZ36">
        <v>2.5754361551863565E-2</v>
      </c>
      <c r="BA36">
        <v>2.7607393009211532E-2</v>
      </c>
      <c r="BB36">
        <v>2.5234728062125674E-2</v>
      </c>
      <c r="BC36">
        <v>2.7195316879024014E-2</v>
      </c>
      <c r="BD36">
        <v>2.7999505316934046E-2</v>
      </c>
    </row>
    <row r="37" spans="1:56">
      <c r="A37" t="s">
        <v>783</v>
      </c>
      <c r="B37" t="s">
        <v>179</v>
      </c>
      <c r="C37" t="s">
        <v>332</v>
      </c>
      <c r="D37" t="s">
        <v>750</v>
      </c>
      <c r="E37" t="s">
        <v>784</v>
      </c>
      <c r="F37">
        <v>1.4254281537464511E-4</v>
      </c>
      <c r="G37">
        <v>0.75826144027384157</v>
      </c>
      <c r="H37">
        <v>16.015295457716352</v>
      </c>
      <c r="J37" t="s">
        <v>494</v>
      </c>
      <c r="K37">
        <v>0.15300118274816868</v>
      </c>
      <c r="L37">
        <v>0.23942459814861411</v>
      </c>
      <c r="M37">
        <v>0.47670075956984148</v>
      </c>
      <c r="N37">
        <v>0.83048343378333389</v>
      </c>
      <c r="O37">
        <v>1.2860669600236248</v>
      </c>
      <c r="P37">
        <v>1.7924155287681787</v>
      </c>
      <c r="Q37">
        <v>2.2710208916976504</v>
      </c>
      <c r="R37">
        <v>2.6376368409574948</v>
      </c>
      <c r="S37">
        <v>2.8277874624078128</v>
      </c>
      <c r="T37">
        <v>2.8151001226598096</v>
      </c>
      <c r="U37">
        <v>2.6156383929910696</v>
      </c>
      <c r="V37">
        <v>2.2784150334760325</v>
      </c>
      <c r="W37">
        <v>1.8679232720997081</v>
      </c>
      <c r="X37">
        <v>1.4463108512369136</v>
      </c>
      <c r="Y37">
        <v>1.0609212795639207</v>
      </c>
      <c r="Z37">
        <v>0.73931289559605806</v>
      </c>
      <c r="AA37">
        <v>0.49066389671410005</v>
      </c>
      <c r="AB37">
        <v>0.31083974177720364</v>
      </c>
      <c r="AC37">
        <v>0.1883578915029315</v>
      </c>
      <c r="AD37">
        <v>0.10938246225066582</v>
      </c>
      <c r="AE37">
        <v>25.392371061649399</v>
      </c>
      <c r="AF37">
        <v>4.7546885231151338E-2</v>
      </c>
      <c r="AG37">
        <v>4.2752362600262855E-2</v>
      </c>
      <c r="AH37">
        <v>4.9196978770559938E-2</v>
      </c>
      <c r="AI37">
        <v>4.5768980578563108E-2</v>
      </c>
      <c r="AJ37">
        <v>4.6727418459752666E-2</v>
      </c>
      <c r="AK37">
        <v>4.6253818996812607E-2</v>
      </c>
      <c r="AL37">
        <v>4.394191760760853E-2</v>
      </c>
      <c r="AM37">
        <v>4.5785809504422799E-2</v>
      </c>
      <c r="AN37">
        <v>4.2778581563147414E-2</v>
      </c>
      <c r="AO37">
        <v>4.8775711756625491E-2</v>
      </c>
      <c r="AP37">
        <v>4.3163853013612204E-2</v>
      </c>
      <c r="AQ37">
        <v>4.6994152254965851E-2</v>
      </c>
      <c r="AS37">
        <v>2.0186490333326871E-2</v>
      </c>
      <c r="AT37">
        <v>1.7343640010600143E-2</v>
      </c>
      <c r="AU37">
        <v>1.6636202211496753E-2</v>
      </c>
      <c r="AV37">
        <v>1.7370968667051453E-2</v>
      </c>
      <c r="AW37">
        <v>1.7043249310935461E-2</v>
      </c>
      <c r="AX37">
        <v>1.4954978639077939E-2</v>
      </c>
      <c r="AY37">
        <v>1.755904593729327E-2</v>
      </c>
      <c r="AZ37">
        <v>1.440019376479393E-2</v>
      </c>
      <c r="BA37">
        <v>1.772820052840093E-2</v>
      </c>
      <c r="BB37">
        <v>1.5922689544087192E-2</v>
      </c>
      <c r="BC37">
        <v>1.9103955508337791E-2</v>
      </c>
      <c r="BD37">
        <v>2.0325355480954915E-2</v>
      </c>
    </row>
    <row r="38" spans="1:56">
      <c r="A38" t="s">
        <v>783</v>
      </c>
      <c r="B38" t="s">
        <v>179</v>
      </c>
      <c r="C38" t="s">
        <v>332</v>
      </c>
      <c r="D38" t="s">
        <v>750</v>
      </c>
      <c r="E38" t="s">
        <v>784</v>
      </c>
      <c r="F38">
        <v>2.8533980492496855E-5</v>
      </c>
      <c r="G38">
        <v>0.15178749688730306</v>
      </c>
      <c r="H38">
        <v>38.787029661676023</v>
      </c>
      <c r="J38" t="s">
        <v>498</v>
      </c>
      <c r="K38">
        <v>2.7918204227823311E-2</v>
      </c>
      <c r="L38">
        <v>4.3489862280472462E-2</v>
      </c>
      <c r="M38">
        <v>8.6196907039896437E-2</v>
      </c>
      <c r="N38">
        <v>0.14948698603394045</v>
      </c>
      <c r="O38">
        <v>0.23044249380387657</v>
      </c>
      <c r="P38">
        <v>0.31971591590349813</v>
      </c>
      <c r="Q38">
        <v>0.40324896520410319</v>
      </c>
      <c r="R38">
        <v>0.46622301193681076</v>
      </c>
      <c r="S38">
        <v>0.49756754366240841</v>
      </c>
      <c r="T38">
        <v>0.49308943576944658</v>
      </c>
      <c r="U38">
        <v>0.45607485545768733</v>
      </c>
      <c r="V38">
        <v>0.39547390903874657</v>
      </c>
      <c r="W38">
        <v>0.32275323611785689</v>
      </c>
      <c r="X38">
        <v>0.24877102210550847</v>
      </c>
      <c r="Y38">
        <v>0.1816552189837807</v>
      </c>
      <c r="Z38">
        <v>0.12601422540904819</v>
      </c>
      <c r="AA38">
        <v>8.3253398253577832E-2</v>
      </c>
      <c r="AB38">
        <v>5.2502620335006397E-2</v>
      </c>
      <c r="AC38">
        <v>3.1670493675125699E-2</v>
      </c>
      <c r="AD38">
        <v>1.830818455202805E-2</v>
      </c>
      <c r="AE38">
        <v>4.2501165730288157</v>
      </c>
      <c r="AF38">
        <v>9.5178553341944382E-3</v>
      </c>
      <c r="AG38">
        <v>8.5580958762306158E-3</v>
      </c>
      <c r="AH38">
        <v>9.8481682772952883E-3</v>
      </c>
      <c r="AI38">
        <v>9.1619573779127654E-3</v>
      </c>
      <c r="AJ38">
        <v>9.3538158572984437E-3</v>
      </c>
      <c r="AK38">
        <v>9.2590115151695851E-3</v>
      </c>
      <c r="AL38">
        <v>8.7962189923283425E-3</v>
      </c>
      <c r="AM38">
        <v>9.1653261639222747E-3</v>
      </c>
      <c r="AN38">
        <v>8.5633443440226633E-3</v>
      </c>
      <c r="AO38">
        <v>9.7638397565898098E-3</v>
      </c>
      <c r="AP38">
        <v>8.6404673335117119E-3</v>
      </c>
      <c r="AQ38">
        <v>9.4072101787821237E-3</v>
      </c>
      <c r="AS38">
        <v>4.0408976058822939E-3</v>
      </c>
      <c r="AT38">
        <v>3.4718206205668926E-3</v>
      </c>
      <c r="AU38">
        <v>3.3302069144939758E-3</v>
      </c>
      <c r="AV38">
        <v>3.4772912249464842E-3</v>
      </c>
      <c r="AW38">
        <v>3.4116889166866836E-3</v>
      </c>
      <c r="AX38">
        <v>2.9936624138620811E-3</v>
      </c>
      <c r="AY38">
        <v>3.5149402158553352E-3</v>
      </c>
      <c r="AZ38">
        <v>2.882606512947358E-3</v>
      </c>
      <c r="BA38">
        <v>3.5488012967537048E-3</v>
      </c>
      <c r="BB38">
        <v>3.1873771515241386E-3</v>
      </c>
      <c r="BC38">
        <v>3.824197609481203E-3</v>
      </c>
      <c r="BD38">
        <v>4.0686953970448438E-3</v>
      </c>
    </row>
    <row r="40" spans="1:56">
      <c r="AF40" s="396">
        <f>AF1/AF21</f>
        <v>1</v>
      </c>
      <c r="AG40" s="396">
        <f t="shared" ref="AG40:AK40" si="1">AG1/AG21</f>
        <v>1</v>
      </c>
      <c r="AH40" s="396">
        <f t="shared" si="1"/>
        <v>1</v>
      </c>
      <c r="AI40" s="396">
        <f t="shared" si="1"/>
        <v>1</v>
      </c>
      <c r="AJ40" s="396">
        <f t="shared" si="1"/>
        <v>1</v>
      </c>
      <c r="AK40" s="396">
        <f t="shared" si="1"/>
        <v>1</v>
      </c>
      <c r="AL40" s="396">
        <f t="shared" ref="AL40:BD40" si="2">AL1/AL21</f>
        <v>1</v>
      </c>
      <c r="AM40" s="396">
        <f t="shared" si="2"/>
        <v>1</v>
      </c>
      <c r="AN40" s="396">
        <f t="shared" si="2"/>
        <v>1</v>
      </c>
      <c r="AO40" s="396">
        <f t="shared" si="2"/>
        <v>1</v>
      </c>
      <c r="AP40" s="396">
        <f t="shared" si="2"/>
        <v>1</v>
      </c>
      <c r="AQ40" s="396">
        <f t="shared" si="2"/>
        <v>1</v>
      </c>
      <c r="AR40" s="396" t="e">
        <f t="shared" si="2"/>
        <v>#DIV/0!</v>
      </c>
      <c r="AS40" s="396">
        <f t="shared" si="2"/>
        <v>1</v>
      </c>
      <c r="AT40" s="396">
        <f t="shared" si="2"/>
        <v>1</v>
      </c>
      <c r="AU40" s="396">
        <f t="shared" si="2"/>
        <v>1</v>
      </c>
      <c r="AV40" s="396">
        <f t="shared" si="2"/>
        <v>1</v>
      </c>
      <c r="AW40" s="396">
        <f t="shared" si="2"/>
        <v>1</v>
      </c>
      <c r="AX40" s="396">
        <f t="shared" si="2"/>
        <v>1</v>
      </c>
      <c r="AY40" s="396">
        <f t="shared" si="2"/>
        <v>1</v>
      </c>
      <c r="AZ40" s="396">
        <f t="shared" si="2"/>
        <v>1</v>
      </c>
      <c r="BA40" s="396">
        <f t="shared" si="2"/>
        <v>1</v>
      </c>
      <c r="BB40" s="396">
        <f t="shared" si="2"/>
        <v>1</v>
      </c>
      <c r="BC40" s="396">
        <f t="shared" si="2"/>
        <v>1</v>
      </c>
      <c r="BD40" s="396">
        <f t="shared" si="2"/>
        <v>1</v>
      </c>
    </row>
    <row r="41" spans="1:56">
      <c r="AF41" s="396">
        <f t="shared" ref="AF41:AJ57" si="3">AF2/AF22</f>
        <v>1</v>
      </c>
      <c r="AG41" s="396">
        <f t="shared" si="3"/>
        <v>1</v>
      </c>
      <c r="AH41" s="396">
        <f t="shared" si="3"/>
        <v>1</v>
      </c>
      <c r="AI41" s="396">
        <f t="shared" si="3"/>
        <v>1</v>
      </c>
      <c r="AJ41" s="396">
        <f t="shared" si="3"/>
        <v>1</v>
      </c>
      <c r="AK41" s="396">
        <f t="shared" ref="AK41:BD41" si="4">AK2/AK22</f>
        <v>1</v>
      </c>
      <c r="AL41" s="396">
        <f t="shared" si="4"/>
        <v>1</v>
      </c>
      <c r="AM41" s="396">
        <f t="shared" si="4"/>
        <v>1</v>
      </c>
      <c r="AN41" s="396">
        <f t="shared" si="4"/>
        <v>1</v>
      </c>
      <c r="AO41" s="396">
        <f t="shared" si="4"/>
        <v>1</v>
      </c>
      <c r="AP41" s="396">
        <f t="shared" si="4"/>
        <v>1</v>
      </c>
      <c r="AQ41" s="396">
        <f t="shared" si="4"/>
        <v>1</v>
      </c>
      <c r="AR41" s="396" t="e">
        <f t="shared" si="4"/>
        <v>#DIV/0!</v>
      </c>
      <c r="AS41" s="396">
        <f t="shared" si="4"/>
        <v>1</v>
      </c>
      <c r="AT41" s="396">
        <f t="shared" si="4"/>
        <v>1</v>
      </c>
      <c r="AU41" s="396">
        <f t="shared" si="4"/>
        <v>1</v>
      </c>
      <c r="AV41" s="396">
        <f t="shared" si="4"/>
        <v>1</v>
      </c>
      <c r="AW41" s="396">
        <f t="shared" si="4"/>
        <v>1</v>
      </c>
      <c r="AX41" s="396">
        <f t="shared" si="4"/>
        <v>1</v>
      </c>
      <c r="AY41" s="396">
        <f t="shared" si="4"/>
        <v>1</v>
      </c>
      <c r="AZ41" s="396">
        <f t="shared" si="4"/>
        <v>1</v>
      </c>
      <c r="BA41" s="396">
        <f t="shared" si="4"/>
        <v>1</v>
      </c>
      <c r="BB41" s="396">
        <f t="shared" si="4"/>
        <v>1</v>
      </c>
      <c r="BC41" s="396">
        <f t="shared" si="4"/>
        <v>1</v>
      </c>
      <c r="BD41" s="396">
        <f t="shared" si="4"/>
        <v>1</v>
      </c>
    </row>
    <row r="42" spans="1:56">
      <c r="AF42" s="396">
        <f t="shared" si="3"/>
        <v>1</v>
      </c>
      <c r="AG42" s="396">
        <f t="shared" si="3"/>
        <v>1</v>
      </c>
      <c r="AH42" s="396">
        <f t="shared" si="3"/>
        <v>1</v>
      </c>
      <c r="AI42" s="396">
        <f t="shared" si="3"/>
        <v>1</v>
      </c>
      <c r="AJ42" s="396">
        <f t="shared" si="3"/>
        <v>1</v>
      </c>
      <c r="AK42" s="396">
        <f t="shared" ref="AK42:BD42" si="5">AK3/AK23</f>
        <v>1</v>
      </c>
      <c r="AL42" s="396">
        <f t="shared" si="5"/>
        <v>1</v>
      </c>
      <c r="AM42" s="396">
        <f t="shared" si="5"/>
        <v>1</v>
      </c>
      <c r="AN42" s="396">
        <f t="shared" si="5"/>
        <v>1</v>
      </c>
      <c r="AO42" s="396">
        <f t="shared" si="5"/>
        <v>1</v>
      </c>
      <c r="AP42" s="396">
        <f t="shared" si="5"/>
        <v>1</v>
      </c>
      <c r="AQ42" s="396">
        <f t="shared" si="5"/>
        <v>1</v>
      </c>
      <c r="AR42" s="396" t="e">
        <f t="shared" si="5"/>
        <v>#DIV/0!</v>
      </c>
      <c r="AS42" s="396">
        <f t="shared" si="5"/>
        <v>1</v>
      </c>
      <c r="AT42" s="396">
        <f t="shared" si="5"/>
        <v>1</v>
      </c>
      <c r="AU42" s="396">
        <f t="shared" si="5"/>
        <v>1</v>
      </c>
      <c r="AV42" s="396">
        <f t="shared" si="5"/>
        <v>1</v>
      </c>
      <c r="AW42" s="396">
        <f t="shared" si="5"/>
        <v>1</v>
      </c>
      <c r="AX42" s="396">
        <f t="shared" si="5"/>
        <v>1</v>
      </c>
      <c r="AY42" s="396">
        <f t="shared" si="5"/>
        <v>1</v>
      </c>
      <c r="AZ42" s="396">
        <f t="shared" si="5"/>
        <v>1</v>
      </c>
      <c r="BA42" s="396">
        <f t="shared" si="5"/>
        <v>1</v>
      </c>
      <c r="BB42" s="396">
        <f t="shared" si="5"/>
        <v>1</v>
      </c>
      <c r="BC42" s="396">
        <f t="shared" si="5"/>
        <v>1</v>
      </c>
      <c r="BD42" s="396">
        <f t="shared" si="5"/>
        <v>1</v>
      </c>
    </row>
    <row r="43" spans="1:56">
      <c r="AF43" s="396">
        <f t="shared" si="3"/>
        <v>1</v>
      </c>
      <c r="AG43" s="396">
        <f t="shared" si="3"/>
        <v>1</v>
      </c>
      <c r="AH43" s="396">
        <f t="shared" si="3"/>
        <v>1</v>
      </c>
      <c r="AI43" s="396">
        <f t="shared" si="3"/>
        <v>1</v>
      </c>
      <c r="AJ43" s="396">
        <f t="shared" si="3"/>
        <v>1</v>
      </c>
      <c r="AK43" s="396">
        <f t="shared" ref="AK43:BD43" si="6">AK4/AK24</f>
        <v>1</v>
      </c>
      <c r="AL43" s="396">
        <f t="shared" si="6"/>
        <v>1</v>
      </c>
      <c r="AM43" s="396">
        <f t="shared" si="6"/>
        <v>1</v>
      </c>
      <c r="AN43" s="396">
        <f t="shared" si="6"/>
        <v>1</v>
      </c>
      <c r="AO43" s="396">
        <f t="shared" si="6"/>
        <v>1</v>
      </c>
      <c r="AP43" s="396">
        <f t="shared" si="6"/>
        <v>1</v>
      </c>
      <c r="AQ43" s="396">
        <f t="shared" si="6"/>
        <v>1</v>
      </c>
      <c r="AR43" s="396" t="e">
        <f t="shared" si="6"/>
        <v>#DIV/0!</v>
      </c>
      <c r="AS43" s="396">
        <f t="shared" si="6"/>
        <v>1</v>
      </c>
      <c r="AT43" s="396">
        <f t="shared" si="6"/>
        <v>1</v>
      </c>
      <c r="AU43" s="396">
        <f t="shared" si="6"/>
        <v>1</v>
      </c>
      <c r="AV43" s="396">
        <f t="shared" si="6"/>
        <v>1</v>
      </c>
      <c r="AW43" s="396">
        <f t="shared" si="6"/>
        <v>1</v>
      </c>
      <c r="AX43" s="396">
        <f t="shared" si="6"/>
        <v>1</v>
      </c>
      <c r="AY43" s="396">
        <f t="shared" si="6"/>
        <v>1</v>
      </c>
      <c r="AZ43" s="396">
        <f t="shared" si="6"/>
        <v>1</v>
      </c>
      <c r="BA43" s="396">
        <f t="shared" si="6"/>
        <v>1</v>
      </c>
      <c r="BB43" s="396">
        <f t="shared" si="6"/>
        <v>1</v>
      </c>
      <c r="BC43" s="396">
        <f t="shared" si="6"/>
        <v>1</v>
      </c>
      <c r="BD43" s="396">
        <f t="shared" si="6"/>
        <v>1</v>
      </c>
    </row>
    <row r="44" spans="1:56">
      <c r="AF44" s="396">
        <f t="shared" si="3"/>
        <v>1</v>
      </c>
      <c r="AG44" s="396">
        <f t="shared" si="3"/>
        <v>1</v>
      </c>
      <c r="AH44" s="396">
        <f t="shared" si="3"/>
        <v>1</v>
      </c>
      <c r="AI44" s="396">
        <f t="shared" si="3"/>
        <v>1</v>
      </c>
      <c r="AJ44" s="396">
        <f t="shared" si="3"/>
        <v>1</v>
      </c>
      <c r="AK44" s="396">
        <f t="shared" ref="AK44:BD44" si="7">AK5/AK25</f>
        <v>1</v>
      </c>
      <c r="AL44" s="396">
        <f t="shared" si="7"/>
        <v>1</v>
      </c>
      <c r="AM44" s="396">
        <f t="shared" si="7"/>
        <v>1</v>
      </c>
      <c r="AN44" s="396">
        <f t="shared" si="7"/>
        <v>1</v>
      </c>
      <c r="AO44" s="396">
        <f t="shared" si="7"/>
        <v>1</v>
      </c>
      <c r="AP44" s="396">
        <f t="shared" si="7"/>
        <v>1</v>
      </c>
      <c r="AQ44" s="396">
        <f t="shared" si="7"/>
        <v>1</v>
      </c>
      <c r="AR44" s="396" t="e">
        <f t="shared" si="7"/>
        <v>#DIV/0!</v>
      </c>
      <c r="AS44" s="396">
        <f t="shared" si="7"/>
        <v>1</v>
      </c>
      <c r="AT44" s="396">
        <f t="shared" si="7"/>
        <v>1</v>
      </c>
      <c r="AU44" s="396">
        <f t="shared" si="7"/>
        <v>1</v>
      </c>
      <c r="AV44" s="396">
        <f t="shared" si="7"/>
        <v>1</v>
      </c>
      <c r="AW44" s="396">
        <f t="shared" si="7"/>
        <v>1</v>
      </c>
      <c r="AX44" s="396">
        <f t="shared" si="7"/>
        <v>1</v>
      </c>
      <c r="AY44" s="396">
        <f t="shared" si="7"/>
        <v>1</v>
      </c>
      <c r="AZ44" s="396">
        <f t="shared" si="7"/>
        <v>1</v>
      </c>
      <c r="BA44" s="396">
        <f t="shared" si="7"/>
        <v>1</v>
      </c>
      <c r="BB44" s="396">
        <f t="shared" si="7"/>
        <v>1</v>
      </c>
      <c r="BC44" s="396">
        <f t="shared" si="7"/>
        <v>1</v>
      </c>
      <c r="BD44" s="396">
        <f t="shared" si="7"/>
        <v>1</v>
      </c>
    </row>
    <row r="45" spans="1:56">
      <c r="AF45" s="396">
        <f t="shared" si="3"/>
        <v>1</v>
      </c>
      <c r="AG45" s="396">
        <f t="shared" si="3"/>
        <v>1</v>
      </c>
      <c r="AH45" s="396">
        <f t="shared" si="3"/>
        <v>1</v>
      </c>
      <c r="AI45" s="396">
        <f t="shared" si="3"/>
        <v>1</v>
      </c>
      <c r="AJ45" s="396">
        <f t="shared" si="3"/>
        <v>1</v>
      </c>
      <c r="AK45" s="396">
        <f t="shared" ref="AK45:BD45" si="8">AK6/AK26</f>
        <v>1</v>
      </c>
      <c r="AL45" s="396">
        <f t="shared" si="8"/>
        <v>1</v>
      </c>
      <c r="AM45" s="396">
        <f t="shared" si="8"/>
        <v>1</v>
      </c>
      <c r="AN45" s="396">
        <f t="shared" si="8"/>
        <v>1</v>
      </c>
      <c r="AO45" s="396">
        <f t="shared" si="8"/>
        <v>1</v>
      </c>
      <c r="AP45" s="396">
        <f t="shared" si="8"/>
        <v>1</v>
      </c>
      <c r="AQ45" s="396">
        <f t="shared" si="8"/>
        <v>1</v>
      </c>
      <c r="AR45" s="396" t="e">
        <f t="shared" si="8"/>
        <v>#DIV/0!</v>
      </c>
      <c r="AS45" s="396">
        <f t="shared" si="8"/>
        <v>1</v>
      </c>
      <c r="AT45" s="396">
        <f t="shared" si="8"/>
        <v>1</v>
      </c>
      <c r="AU45" s="396">
        <f t="shared" si="8"/>
        <v>1</v>
      </c>
      <c r="AV45" s="396">
        <f t="shared" si="8"/>
        <v>1</v>
      </c>
      <c r="AW45" s="396">
        <f t="shared" si="8"/>
        <v>1</v>
      </c>
      <c r="AX45" s="396">
        <f t="shared" si="8"/>
        <v>1</v>
      </c>
      <c r="AY45" s="396">
        <f t="shared" si="8"/>
        <v>1</v>
      </c>
      <c r="AZ45" s="396">
        <f t="shared" si="8"/>
        <v>1</v>
      </c>
      <c r="BA45" s="396">
        <f t="shared" si="8"/>
        <v>1</v>
      </c>
      <c r="BB45" s="396">
        <f t="shared" si="8"/>
        <v>1</v>
      </c>
      <c r="BC45" s="396">
        <f t="shared" si="8"/>
        <v>1</v>
      </c>
      <c r="BD45" s="396">
        <f t="shared" si="8"/>
        <v>1</v>
      </c>
    </row>
    <row r="46" spans="1:56">
      <c r="AF46" s="396">
        <f t="shared" si="3"/>
        <v>1</v>
      </c>
      <c r="AG46" s="396">
        <f t="shared" si="3"/>
        <v>1</v>
      </c>
      <c r="AH46" s="396">
        <f t="shared" si="3"/>
        <v>1</v>
      </c>
      <c r="AI46" s="396">
        <f t="shared" si="3"/>
        <v>1</v>
      </c>
      <c r="AJ46" s="396">
        <f t="shared" si="3"/>
        <v>1</v>
      </c>
      <c r="AK46" s="396">
        <f t="shared" ref="AK46:BD46" si="9">AK7/AK27</f>
        <v>1</v>
      </c>
      <c r="AL46" s="396">
        <f t="shared" si="9"/>
        <v>1</v>
      </c>
      <c r="AM46" s="396">
        <f t="shared" si="9"/>
        <v>1</v>
      </c>
      <c r="AN46" s="396">
        <f t="shared" si="9"/>
        <v>1</v>
      </c>
      <c r="AO46" s="396">
        <f t="shared" si="9"/>
        <v>1</v>
      </c>
      <c r="AP46" s="396">
        <f t="shared" si="9"/>
        <v>1</v>
      </c>
      <c r="AQ46" s="396">
        <f t="shared" si="9"/>
        <v>1</v>
      </c>
      <c r="AR46" s="396" t="e">
        <f t="shared" si="9"/>
        <v>#DIV/0!</v>
      </c>
      <c r="AS46" s="396">
        <f t="shared" si="9"/>
        <v>1</v>
      </c>
      <c r="AT46" s="396">
        <f t="shared" si="9"/>
        <v>1</v>
      </c>
      <c r="AU46" s="396">
        <f t="shared" si="9"/>
        <v>1</v>
      </c>
      <c r="AV46" s="396">
        <f t="shared" si="9"/>
        <v>1</v>
      </c>
      <c r="AW46" s="396">
        <f t="shared" si="9"/>
        <v>1</v>
      </c>
      <c r="AX46" s="396">
        <f t="shared" si="9"/>
        <v>1</v>
      </c>
      <c r="AY46" s="396">
        <f t="shared" si="9"/>
        <v>1</v>
      </c>
      <c r="AZ46" s="396">
        <f t="shared" si="9"/>
        <v>1</v>
      </c>
      <c r="BA46" s="396">
        <f t="shared" si="9"/>
        <v>1</v>
      </c>
      <c r="BB46" s="396">
        <f t="shared" si="9"/>
        <v>1</v>
      </c>
      <c r="BC46" s="396">
        <f t="shared" si="9"/>
        <v>1</v>
      </c>
      <c r="BD46" s="396">
        <f t="shared" si="9"/>
        <v>1</v>
      </c>
    </row>
    <row r="47" spans="1:56">
      <c r="AF47" s="396">
        <f t="shared" si="3"/>
        <v>0.83548218437375943</v>
      </c>
      <c r="AG47" s="396">
        <f t="shared" si="3"/>
        <v>0.81894390067721279</v>
      </c>
      <c r="AH47" s="396">
        <f t="shared" si="3"/>
        <v>0.85626713798663767</v>
      </c>
      <c r="AI47" s="396">
        <f t="shared" si="3"/>
        <v>0.83801611035604306</v>
      </c>
      <c r="AJ47" s="396">
        <f t="shared" si="3"/>
        <v>0.83615387797070273</v>
      </c>
      <c r="AK47" s="396">
        <f t="shared" ref="AK47:BD47" si="10">AK8/AK28</f>
        <v>0.8645817711570194</v>
      </c>
      <c r="AL47" s="396">
        <f t="shared" si="10"/>
        <v>0.92831938494255128</v>
      </c>
      <c r="AM47" s="396">
        <f t="shared" si="10"/>
        <v>0.82196757128696485</v>
      </c>
      <c r="AN47" s="396">
        <f t="shared" si="10"/>
        <v>0.74457776992828295</v>
      </c>
      <c r="AO47" s="396">
        <f t="shared" si="10"/>
        <v>0.8315626656730194</v>
      </c>
      <c r="AP47" s="396">
        <f t="shared" si="10"/>
        <v>0.87875361187265277</v>
      </c>
      <c r="AQ47" s="396">
        <f t="shared" si="10"/>
        <v>0.92955868335230829</v>
      </c>
      <c r="AR47" s="396" t="e">
        <f t="shared" si="10"/>
        <v>#DIV/0!</v>
      </c>
      <c r="AS47" s="396">
        <f t="shared" si="10"/>
        <v>1.2389922650245033</v>
      </c>
      <c r="AT47" s="396">
        <f t="shared" si="10"/>
        <v>1.441331223739007</v>
      </c>
      <c r="AU47" s="396">
        <f t="shared" si="10"/>
        <v>1.6851834311352598</v>
      </c>
      <c r="AV47" s="396">
        <f t="shared" si="10"/>
        <v>2.178776613643516</v>
      </c>
      <c r="AW47" s="396">
        <f t="shared" si="10"/>
        <v>2.4810807435200437</v>
      </c>
      <c r="AX47" s="396">
        <f t="shared" si="10"/>
        <v>2.4892702248340255</v>
      </c>
      <c r="AY47" s="396">
        <f t="shared" si="10"/>
        <v>2.9816806529813253</v>
      </c>
      <c r="AZ47" s="396">
        <f t="shared" si="10"/>
        <v>2.337506700949894</v>
      </c>
      <c r="BA47" s="396">
        <f t="shared" si="10"/>
        <v>2.2365903057576144</v>
      </c>
      <c r="BB47" s="396">
        <f t="shared" si="10"/>
        <v>2.6223259833844801</v>
      </c>
      <c r="BC47" s="396">
        <f t="shared" si="10"/>
        <v>1.9343730859315795</v>
      </c>
      <c r="BD47" s="396">
        <f t="shared" si="10"/>
        <v>1.3804145689135263</v>
      </c>
    </row>
    <row r="48" spans="1:56">
      <c r="AF48" s="396">
        <f t="shared" si="3"/>
        <v>1</v>
      </c>
      <c r="AG48" s="396">
        <f t="shared" si="3"/>
        <v>1</v>
      </c>
      <c r="AH48" s="396">
        <f t="shared" si="3"/>
        <v>1</v>
      </c>
      <c r="AI48" s="396">
        <f t="shared" si="3"/>
        <v>1</v>
      </c>
      <c r="AJ48" s="396">
        <f t="shared" si="3"/>
        <v>1</v>
      </c>
      <c r="AK48" s="396">
        <f t="shared" ref="AK48:BD48" si="11">AK9/AK29</f>
        <v>1</v>
      </c>
      <c r="AL48" s="396">
        <f t="shared" si="11"/>
        <v>1</v>
      </c>
      <c r="AM48" s="396">
        <f t="shared" si="11"/>
        <v>1</v>
      </c>
      <c r="AN48" s="396">
        <f t="shared" si="11"/>
        <v>1</v>
      </c>
      <c r="AO48" s="396">
        <f t="shared" si="11"/>
        <v>1</v>
      </c>
      <c r="AP48" s="396">
        <f t="shared" si="11"/>
        <v>1</v>
      </c>
      <c r="AQ48" s="396">
        <f t="shared" si="11"/>
        <v>1</v>
      </c>
      <c r="AR48" s="396" t="e">
        <f t="shared" si="11"/>
        <v>#DIV/0!</v>
      </c>
      <c r="AS48" s="396">
        <f t="shared" si="11"/>
        <v>1</v>
      </c>
      <c r="AT48" s="396">
        <f t="shared" si="11"/>
        <v>1</v>
      </c>
      <c r="AU48" s="396">
        <f t="shared" si="11"/>
        <v>1</v>
      </c>
      <c r="AV48" s="396">
        <f t="shared" si="11"/>
        <v>1</v>
      </c>
      <c r="AW48" s="396">
        <f t="shared" si="11"/>
        <v>1</v>
      </c>
      <c r="AX48" s="396">
        <f t="shared" si="11"/>
        <v>1</v>
      </c>
      <c r="AY48" s="396">
        <f t="shared" si="11"/>
        <v>1</v>
      </c>
      <c r="AZ48" s="396">
        <f t="shared" si="11"/>
        <v>1</v>
      </c>
      <c r="BA48" s="396">
        <f t="shared" si="11"/>
        <v>1</v>
      </c>
      <c r="BB48" s="396">
        <f t="shared" si="11"/>
        <v>1</v>
      </c>
      <c r="BC48" s="396">
        <f t="shared" si="11"/>
        <v>1</v>
      </c>
      <c r="BD48" s="396">
        <f t="shared" si="11"/>
        <v>1</v>
      </c>
    </row>
    <row r="49" spans="32:56">
      <c r="AF49" s="396">
        <f t="shared" si="3"/>
        <v>1</v>
      </c>
      <c r="AG49" s="396">
        <f t="shared" si="3"/>
        <v>1</v>
      </c>
      <c r="AH49" s="396">
        <f t="shared" si="3"/>
        <v>1</v>
      </c>
      <c r="AI49" s="396">
        <f t="shared" si="3"/>
        <v>1</v>
      </c>
      <c r="AJ49" s="396">
        <f t="shared" si="3"/>
        <v>1</v>
      </c>
      <c r="AK49" s="396">
        <f t="shared" ref="AK49:BD49" si="12">AK10/AK30</f>
        <v>1</v>
      </c>
      <c r="AL49" s="396">
        <f t="shared" si="12"/>
        <v>1</v>
      </c>
      <c r="AM49" s="396">
        <f t="shared" si="12"/>
        <v>1</v>
      </c>
      <c r="AN49" s="396">
        <f t="shared" si="12"/>
        <v>1</v>
      </c>
      <c r="AO49" s="396">
        <f t="shared" si="12"/>
        <v>1</v>
      </c>
      <c r="AP49" s="396">
        <f t="shared" si="12"/>
        <v>1</v>
      </c>
      <c r="AQ49" s="396">
        <f t="shared" si="12"/>
        <v>1</v>
      </c>
      <c r="AR49" s="396" t="e">
        <f t="shared" si="12"/>
        <v>#DIV/0!</v>
      </c>
      <c r="AS49" s="396">
        <f t="shared" si="12"/>
        <v>1</v>
      </c>
      <c r="AT49" s="396">
        <f t="shared" si="12"/>
        <v>1</v>
      </c>
      <c r="AU49" s="396">
        <f t="shared" si="12"/>
        <v>1</v>
      </c>
      <c r="AV49" s="396">
        <f t="shared" si="12"/>
        <v>1</v>
      </c>
      <c r="AW49" s="396">
        <f t="shared" si="12"/>
        <v>1</v>
      </c>
      <c r="AX49" s="396">
        <f t="shared" si="12"/>
        <v>1</v>
      </c>
      <c r="AY49" s="396">
        <f t="shared" si="12"/>
        <v>1</v>
      </c>
      <c r="AZ49" s="396">
        <f t="shared" si="12"/>
        <v>1</v>
      </c>
      <c r="BA49" s="396">
        <f t="shared" si="12"/>
        <v>1</v>
      </c>
      <c r="BB49" s="396">
        <f t="shared" si="12"/>
        <v>1</v>
      </c>
      <c r="BC49" s="396">
        <f t="shared" si="12"/>
        <v>1</v>
      </c>
      <c r="BD49" s="396">
        <f t="shared" si="12"/>
        <v>1</v>
      </c>
    </row>
    <row r="50" spans="32:56">
      <c r="AF50" s="396">
        <f t="shared" si="3"/>
        <v>1</v>
      </c>
      <c r="AG50" s="396">
        <f t="shared" si="3"/>
        <v>1</v>
      </c>
      <c r="AH50" s="396">
        <f t="shared" si="3"/>
        <v>1</v>
      </c>
      <c r="AI50" s="396">
        <f t="shared" si="3"/>
        <v>1</v>
      </c>
      <c r="AJ50" s="396">
        <f t="shared" si="3"/>
        <v>1</v>
      </c>
      <c r="AK50" s="396">
        <f t="shared" ref="AK50:BD50" si="13">AK11/AK31</f>
        <v>1</v>
      </c>
      <c r="AL50" s="396">
        <f t="shared" si="13"/>
        <v>1</v>
      </c>
      <c r="AM50" s="396">
        <f t="shared" si="13"/>
        <v>1</v>
      </c>
      <c r="AN50" s="396">
        <f t="shared" si="13"/>
        <v>1</v>
      </c>
      <c r="AO50" s="396">
        <f t="shared" si="13"/>
        <v>1</v>
      </c>
      <c r="AP50" s="396">
        <f t="shared" si="13"/>
        <v>1</v>
      </c>
      <c r="AQ50" s="396">
        <f t="shared" si="13"/>
        <v>1</v>
      </c>
      <c r="AR50" s="396" t="e">
        <f t="shared" si="13"/>
        <v>#DIV/0!</v>
      </c>
      <c r="AS50" s="396">
        <f t="shared" si="13"/>
        <v>1</v>
      </c>
      <c r="AT50" s="396">
        <f t="shared" si="13"/>
        <v>1</v>
      </c>
      <c r="AU50" s="396">
        <f t="shared" si="13"/>
        <v>1</v>
      </c>
      <c r="AV50" s="396">
        <f t="shared" si="13"/>
        <v>1</v>
      </c>
      <c r="AW50" s="396">
        <f t="shared" si="13"/>
        <v>1</v>
      </c>
      <c r="AX50" s="396">
        <f t="shared" si="13"/>
        <v>1</v>
      </c>
      <c r="AY50" s="396">
        <f t="shared" si="13"/>
        <v>1</v>
      </c>
      <c r="AZ50" s="396">
        <f t="shared" si="13"/>
        <v>1</v>
      </c>
      <c r="BA50" s="396">
        <f t="shared" si="13"/>
        <v>1</v>
      </c>
      <c r="BB50" s="396">
        <f t="shared" si="13"/>
        <v>1</v>
      </c>
      <c r="BC50" s="396">
        <f t="shared" si="13"/>
        <v>1</v>
      </c>
      <c r="BD50" s="396">
        <f t="shared" si="13"/>
        <v>1</v>
      </c>
    </row>
    <row r="51" spans="32:56">
      <c r="AF51" s="396">
        <f t="shared" si="3"/>
        <v>1</v>
      </c>
      <c r="AG51" s="396">
        <f t="shared" si="3"/>
        <v>1</v>
      </c>
      <c r="AH51" s="396">
        <f t="shared" si="3"/>
        <v>1</v>
      </c>
      <c r="AI51" s="396">
        <f t="shared" si="3"/>
        <v>1</v>
      </c>
      <c r="AJ51" s="396">
        <f t="shared" si="3"/>
        <v>1</v>
      </c>
      <c r="AK51" s="396">
        <f t="shared" ref="AK51:BD51" si="14">AK12/AK32</f>
        <v>1</v>
      </c>
      <c r="AL51" s="396">
        <f t="shared" si="14"/>
        <v>1</v>
      </c>
      <c r="AM51" s="396">
        <f t="shared" si="14"/>
        <v>1</v>
      </c>
      <c r="AN51" s="396">
        <f t="shared" si="14"/>
        <v>1</v>
      </c>
      <c r="AO51" s="396">
        <f t="shared" si="14"/>
        <v>1</v>
      </c>
      <c r="AP51" s="396">
        <f t="shared" si="14"/>
        <v>1</v>
      </c>
      <c r="AQ51" s="396">
        <f t="shared" si="14"/>
        <v>1</v>
      </c>
      <c r="AR51" s="396" t="e">
        <f t="shared" si="14"/>
        <v>#DIV/0!</v>
      </c>
      <c r="AS51" s="396">
        <f t="shared" si="14"/>
        <v>1</v>
      </c>
      <c r="AT51" s="396">
        <f t="shared" si="14"/>
        <v>1</v>
      </c>
      <c r="AU51" s="396">
        <f t="shared" si="14"/>
        <v>1</v>
      </c>
      <c r="AV51" s="396">
        <f t="shared" si="14"/>
        <v>1</v>
      </c>
      <c r="AW51" s="396">
        <f t="shared" si="14"/>
        <v>1</v>
      </c>
      <c r="AX51" s="396">
        <f t="shared" si="14"/>
        <v>1</v>
      </c>
      <c r="AY51" s="396">
        <f t="shared" si="14"/>
        <v>1</v>
      </c>
      <c r="AZ51" s="396">
        <f t="shared" si="14"/>
        <v>1</v>
      </c>
      <c r="BA51" s="396">
        <f t="shared" si="14"/>
        <v>1</v>
      </c>
      <c r="BB51" s="396">
        <f t="shared" si="14"/>
        <v>1</v>
      </c>
      <c r="BC51" s="396">
        <f t="shared" si="14"/>
        <v>1</v>
      </c>
      <c r="BD51" s="396">
        <f t="shared" si="14"/>
        <v>1</v>
      </c>
    </row>
    <row r="52" spans="32:56">
      <c r="AF52" s="396">
        <f t="shared" si="3"/>
        <v>1</v>
      </c>
      <c r="AG52" s="396">
        <f t="shared" si="3"/>
        <v>1</v>
      </c>
      <c r="AH52" s="396">
        <f t="shared" si="3"/>
        <v>1</v>
      </c>
      <c r="AI52" s="396">
        <f t="shared" si="3"/>
        <v>1</v>
      </c>
      <c r="AJ52" s="396">
        <f t="shared" si="3"/>
        <v>1</v>
      </c>
      <c r="AK52" s="396">
        <f t="shared" ref="AK52:BD52" si="15">AK13/AK33</f>
        <v>1</v>
      </c>
      <c r="AL52" s="396">
        <f t="shared" si="15"/>
        <v>1</v>
      </c>
      <c r="AM52" s="396">
        <f t="shared" si="15"/>
        <v>1</v>
      </c>
      <c r="AN52" s="396">
        <f t="shared" si="15"/>
        <v>1</v>
      </c>
      <c r="AO52" s="396">
        <f t="shared" si="15"/>
        <v>1</v>
      </c>
      <c r="AP52" s="396">
        <f t="shared" si="15"/>
        <v>1</v>
      </c>
      <c r="AQ52" s="396">
        <f t="shared" si="15"/>
        <v>1</v>
      </c>
      <c r="AR52" s="396" t="e">
        <f t="shared" si="15"/>
        <v>#DIV/0!</v>
      </c>
      <c r="AS52" s="396">
        <f t="shared" si="15"/>
        <v>1</v>
      </c>
      <c r="AT52" s="396">
        <f t="shared" si="15"/>
        <v>1</v>
      </c>
      <c r="AU52" s="396">
        <f t="shared" si="15"/>
        <v>1</v>
      </c>
      <c r="AV52" s="396">
        <f t="shared" si="15"/>
        <v>1</v>
      </c>
      <c r="AW52" s="396">
        <f t="shared" si="15"/>
        <v>1</v>
      </c>
      <c r="AX52" s="396">
        <f t="shared" si="15"/>
        <v>1</v>
      </c>
      <c r="AY52" s="396">
        <f t="shared" si="15"/>
        <v>1</v>
      </c>
      <c r="AZ52" s="396">
        <f t="shared" si="15"/>
        <v>1</v>
      </c>
      <c r="BA52" s="396">
        <f t="shared" si="15"/>
        <v>1</v>
      </c>
      <c r="BB52" s="396">
        <f t="shared" si="15"/>
        <v>1</v>
      </c>
      <c r="BC52" s="396">
        <f t="shared" si="15"/>
        <v>1</v>
      </c>
      <c r="BD52" s="396">
        <f t="shared" si="15"/>
        <v>1</v>
      </c>
    </row>
    <row r="53" spans="32:56">
      <c r="AF53" s="396">
        <f t="shared" si="3"/>
        <v>1</v>
      </c>
      <c r="AG53" s="396">
        <f t="shared" si="3"/>
        <v>1</v>
      </c>
      <c r="AH53" s="396">
        <f t="shared" si="3"/>
        <v>1</v>
      </c>
      <c r="AI53" s="396">
        <f t="shared" si="3"/>
        <v>1</v>
      </c>
      <c r="AJ53" s="396">
        <f t="shared" si="3"/>
        <v>1</v>
      </c>
      <c r="AK53" s="396">
        <f t="shared" ref="AK53:BD53" si="16">AK14/AK34</f>
        <v>1</v>
      </c>
      <c r="AL53" s="396">
        <f t="shared" si="16"/>
        <v>1</v>
      </c>
      <c r="AM53" s="396">
        <f t="shared" si="16"/>
        <v>1</v>
      </c>
      <c r="AN53" s="396">
        <f t="shared" si="16"/>
        <v>1</v>
      </c>
      <c r="AO53" s="396">
        <f t="shared" si="16"/>
        <v>1</v>
      </c>
      <c r="AP53" s="396">
        <f t="shared" si="16"/>
        <v>1</v>
      </c>
      <c r="AQ53" s="396">
        <f t="shared" si="16"/>
        <v>1</v>
      </c>
      <c r="AR53" s="396" t="e">
        <f t="shared" si="16"/>
        <v>#DIV/0!</v>
      </c>
      <c r="AS53" s="396">
        <f t="shared" si="16"/>
        <v>1</v>
      </c>
      <c r="AT53" s="396">
        <f t="shared" si="16"/>
        <v>1</v>
      </c>
      <c r="AU53" s="396">
        <f t="shared" si="16"/>
        <v>1</v>
      </c>
      <c r="AV53" s="396">
        <f t="shared" si="16"/>
        <v>1</v>
      </c>
      <c r="AW53" s="396">
        <f t="shared" si="16"/>
        <v>1</v>
      </c>
      <c r="AX53" s="396">
        <f t="shared" si="16"/>
        <v>1</v>
      </c>
      <c r="AY53" s="396">
        <f t="shared" si="16"/>
        <v>1</v>
      </c>
      <c r="AZ53" s="396">
        <f t="shared" si="16"/>
        <v>1</v>
      </c>
      <c r="BA53" s="396">
        <f t="shared" si="16"/>
        <v>1</v>
      </c>
      <c r="BB53" s="396">
        <f t="shared" si="16"/>
        <v>1</v>
      </c>
      <c r="BC53" s="396">
        <f t="shared" si="16"/>
        <v>1</v>
      </c>
      <c r="BD53" s="396">
        <f t="shared" si="16"/>
        <v>1</v>
      </c>
    </row>
    <row r="54" spans="32:56">
      <c r="AF54" s="396">
        <f t="shared" si="3"/>
        <v>1.3247617651813852</v>
      </c>
      <c r="AG54" s="396">
        <f t="shared" si="3"/>
        <v>1.2967740791084605</v>
      </c>
      <c r="AH54" s="396">
        <f t="shared" si="3"/>
        <v>1.2783934661180034</v>
      </c>
      <c r="AI54" s="396">
        <f t="shared" si="3"/>
        <v>1.283616770439109</v>
      </c>
      <c r="AJ54" s="396">
        <f t="shared" si="3"/>
        <v>1.2469448266218335</v>
      </c>
      <c r="AK54" s="396">
        <f t="shared" ref="AK54:BD54" si="17">AK15/AK35</f>
        <v>1.2160743498359743</v>
      </c>
      <c r="AL54" s="396">
        <f t="shared" si="17"/>
        <v>1.1821135285032598</v>
      </c>
      <c r="AM54" s="396">
        <f t="shared" si="17"/>
        <v>1.1381798583884462</v>
      </c>
      <c r="AN54" s="396">
        <f t="shared" si="17"/>
        <v>1.2129768130019114</v>
      </c>
      <c r="AO54" s="396">
        <f t="shared" si="17"/>
        <v>1.2527041390082454</v>
      </c>
      <c r="AP54" s="396">
        <f t="shared" si="17"/>
        <v>1.260962285276211</v>
      </c>
      <c r="AQ54" s="396">
        <f t="shared" si="17"/>
        <v>1.3145900061004203</v>
      </c>
      <c r="AR54" s="396" t="e">
        <f t="shared" si="17"/>
        <v>#DIV/0!</v>
      </c>
      <c r="AS54" s="396">
        <f t="shared" si="17"/>
        <v>0.71897315890126157</v>
      </c>
      <c r="AT54" s="396">
        <f t="shared" si="17"/>
        <v>0.70180045165543337</v>
      </c>
      <c r="AU54" s="396">
        <f t="shared" si="17"/>
        <v>0.66116131537321243</v>
      </c>
      <c r="AV54" s="396">
        <f t="shared" si="17"/>
        <v>0.67289660142140106</v>
      </c>
      <c r="AW54" s="396">
        <f t="shared" si="17"/>
        <v>0.642444362431007</v>
      </c>
      <c r="AX54" s="396">
        <f t="shared" si="17"/>
        <v>0.60364399324837703</v>
      </c>
      <c r="AY54" s="396">
        <f t="shared" si="17"/>
        <v>0.61875535116003388</v>
      </c>
      <c r="AZ54" s="396">
        <f t="shared" si="17"/>
        <v>0.55941189056835794</v>
      </c>
      <c r="BA54" s="396">
        <f t="shared" si="17"/>
        <v>0.64247081390183503</v>
      </c>
      <c r="BB54" s="396">
        <f t="shared" si="17"/>
        <v>0.63129441048506052</v>
      </c>
      <c r="BC54" s="396">
        <f t="shared" si="17"/>
        <v>0.70281871903084281</v>
      </c>
      <c r="BD54" s="396">
        <f t="shared" si="17"/>
        <v>0.72627640816570527</v>
      </c>
    </row>
    <row r="55" spans="32:56">
      <c r="AF55" s="396">
        <f t="shared" si="3"/>
        <v>1.324761765181385</v>
      </c>
      <c r="AG55" s="396">
        <f t="shared" si="3"/>
        <v>1.2967740791084605</v>
      </c>
      <c r="AH55" s="396">
        <f t="shared" si="3"/>
        <v>1.2783934661180034</v>
      </c>
      <c r="AI55" s="396">
        <f t="shared" si="3"/>
        <v>1.2836167704391088</v>
      </c>
      <c r="AJ55" s="396">
        <f t="shared" si="3"/>
        <v>1.2469448266218337</v>
      </c>
      <c r="AK55" s="396">
        <f t="shared" ref="AK55:BD55" si="18">AK16/AK36</f>
        <v>1.2160743498359743</v>
      </c>
      <c r="AL55" s="396">
        <f t="shared" si="18"/>
        <v>1.1821135285032598</v>
      </c>
      <c r="AM55" s="396">
        <f t="shared" si="18"/>
        <v>1.1381798583884459</v>
      </c>
      <c r="AN55" s="396">
        <f t="shared" si="18"/>
        <v>1.2129768130019112</v>
      </c>
      <c r="AO55" s="396">
        <f t="shared" si="18"/>
        <v>1.2527041390082454</v>
      </c>
      <c r="AP55" s="396">
        <f t="shared" si="18"/>
        <v>1.2609622852762112</v>
      </c>
      <c r="AQ55" s="396">
        <f t="shared" si="18"/>
        <v>1.3145900061004201</v>
      </c>
      <c r="AR55" s="396" t="e">
        <f t="shared" si="18"/>
        <v>#DIV/0!</v>
      </c>
      <c r="AS55" s="396">
        <f t="shared" si="18"/>
        <v>0.71897315890126168</v>
      </c>
      <c r="AT55" s="396">
        <f t="shared" si="18"/>
        <v>0.70180045165543337</v>
      </c>
      <c r="AU55" s="396">
        <f t="shared" si="18"/>
        <v>0.66116131537321243</v>
      </c>
      <c r="AV55" s="396">
        <f t="shared" si="18"/>
        <v>0.67289660142140095</v>
      </c>
      <c r="AW55" s="396">
        <f t="shared" si="18"/>
        <v>0.64244436243100689</v>
      </c>
      <c r="AX55" s="396">
        <f t="shared" si="18"/>
        <v>0.60364399324837692</v>
      </c>
      <c r="AY55" s="396">
        <f t="shared" si="18"/>
        <v>0.618755351160034</v>
      </c>
      <c r="AZ55" s="396">
        <f t="shared" si="18"/>
        <v>0.55941189056835794</v>
      </c>
      <c r="BA55" s="396">
        <f t="shared" si="18"/>
        <v>0.64247081390183514</v>
      </c>
      <c r="BB55" s="396">
        <f t="shared" si="18"/>
        <v>0.63129441048506063</v>
      </c>
      <c r="BC55" s="396">
        <f t="shared" si="18"/>
        <v>0.70281871903084281</v>
      </c>
      <c r="BD55" s="396">
        <f t="shared" si="18"/>
        <v>0.72627640816570527</v>
      </c>
    </row>
    <row r="56" spans="32:56">
      <c r="AF56" s="396">
        <f t="shared" si="3"/>
        <v>1</v>
      </c>
      <c r="AG56" s="396">
        <f t="shared" si="3"/>
        <v>1</v>
      </c>
      <c r="AH56" s="396">
        <f t="shared" si="3"/>
        <v>1</v>
      </c>
      <c r="AI56" s="396">
        <f t="shared" si="3"/>
        <v>1</v>
      </c>
      <c r="AJ56" s="396">
        <f t="shared" si="3"/>
        <v>1</v>
      </c>
      <c r="AK56" s="396">
        <f t="shared" ref="AK56:BD56" si="19">AK17/AK37</f>
        <v>1</v>
      </c>
      <c r="AL56" s="396">
        <f t="shared" si="19"/>
        <v>1</v>
      </c>
      <c r="AM56" s="396">
        <f t="shared" si="19"/>
        <v>1</v>
      </c>
      <c r="AN56" s="396">
        <f t="shared" si="19"/>
        <v>1</v>
      </c>
      <c r="AO56" s="396">
        <f t="shared" si="19"/>
        <v>1</v>
      </c>
      <c r="AP56" s="396">
        <f t="shared" si="19"/>
        <v>1</v>
      </c>
      <c r="AQ56" s="396">
        <f t="shared" si="19"/>
        <v>1</v>
      </c>
      <c r="AR56" s="396" t="e">
        <f t="shared" si="19"/>
        <v>#DIV/0!</v>
      </c>
      <c r="AS56" s="396">
        <f t="shared" si="19"/>
        <v>1</v>
      </c>
      <c r="AT56" s="396">
        <f t="shared" si="19"/>
        <v>1</v>
      </c>
      <c r="AU56" s="396">
        <f t="shared" si="19"/>
        <v>1</v>
      </c>
      <c r="AV56" s="396">
        <f t="shared" si="19"/>
        <v>1</v>
      </c>
      <c r="AW56" s="396">
        <f t="shared" si="19"/>
        <v>1</v>
      </c>
      <c r="AX56" s="396">
        <f t="shared" si="19"/>
        <v>1</v>
      </c>
      <c r="AY56" s="396">
        <f t="shared" si="19"/>
        <v>1</v>
      </c>
      <c r="AZ56" s="396">
        <f t="shared" si="19"/>
        <v>1</v>
      </c>
      <c r="BA56" s="396">
        <f t="shared" si="19"/>
        <v>1</v>
      </c>
      <c r="BB56" s="396">
        <f t="shared" si="19"/>
        <v>1</v>
      </c>
      <c r="BC56" s="396">
        <f t="shared" si="19"/>
        <v>1</v>
      </c>
      <c r="BD56" s="396">
        <f t="shared" si="19"/>
        <v>1</v>
      </c>
    </row>
    <row r="57" spans="32:56">
      <c r="AF57" s="396">
        <f t="shared" si="3"/>
        <v>1</v>
      </c>
      <c r="AG57" s="396">
        <f t="shared" si="3"/>
        <v>1</v>
      </c>
      <c r="AH57" s="396">
        <f t="shared" si="3"/>
        <v>1</v>
      </c>
      <c r="AI57" s="396">
        <f t="shared" si="3"/>
        <v>1</v>
      </c>
      <c r="AJ57" s="396">
        <f t="shared" si="3"/>
        <v>1</v>
      </c>
      <c r="AK57" s="396">
        <f t="shared" ref="AK57:BD57" si="20">AK18/AK38</f>
        <v>1</v>
      </c>
      <c r="AL57" s="396">
        <f t="shared" si="20"/>
        <v>1</v>
      </c>
      <c r="AM57" s="396">
        <f t="shared" si="20"/>
        <v>1</v>
      </c>
      <c r="AN57" s="396">
        <f t="shared" si="20"/>
        <v>1</v>
      </c>
      <c r="AO57" s="396">
        <f t="shared" si="20"/>
        <v>1</v>
      </c>
      <c r="AP57" s="396">
        <f t="shared" si="20"/>
        <v>1</v>
      </c>
      <c r="AQ57" s="396">
        <f t="shared" si="20"/>
        <v>1</v>
      </c>
      <c r="AR57" s="396" t="e">
        <f t="shared" si="20"/>
        <v>#DIV/0!</v>
      </c>
      <c r="AS57" s="396">
        <f t="shared" si="20"/>
        <v>1</v>
      </c>
      <c r="AT57" s="396">
        <f t="shared" si="20"/>
        <v>1</v>
      </c>
      <c r="AU57" s="396">
        <f t="shared" si="20"/>
        <v>1</v>
      </c>
      <c r="AV57" s="396">
        <f t="shared" si="20"/>
        <v>1</v>
      </c>
      <c r="AW57" s="396">
        <f t="shared" si="20"/>
        <v>1</v>
      </c>
      <c r="AX57" s="396">
        <f t="shared" si="20"/>
        <v>1</v>
      </c>
      <c r="AY57" s="396">
        <f t="shared" si="20"/>
        <v>1</v>
      </c>
      <c r="AZ57" s="396">
        <f t="shared" si="20"/>
        <v>1</v>
      </c>
      <c r="BA57" s="396">
        <f t="shared" si="20"/>
        <v>1</v>
      </c>
      <c r="BB57" s="396">
        <f t="shared" si="20"/>
        <v>1</v>
      </c>
      <c r="BC57" s="396">
        <f t="shared" si="20"/>
        <v>1</v>
      </c>
      <c r="BD57" s="396">
        <f t="shared" si="20"/>
        <v>1</v>
      </c>
    </row>
    <row r="58" spans="32:56">
      <c r="AF58" s="396"/>
      <c r="AG58" s="396"/>
      <c r="AH58" s="396"/>
      <c r="AI58" s="396"/>
      <c r="AJ58" s="396"/>
      <c r="AK58" s="396"/>
      <c r="AL58" s="396"/>
      <c r="AM58" s="396"/>
      <c r="AN58" s="396"/>
      <c r="AO58" s="396"/>
      <c r="AP58" s="396"/>
      <c r="AQ58" s="396"/>
      <c r="AR58" s="396"/>
      <c r="AS58" s="396"/>
      <c r="AT58" s="396"/>
      <c r="AU58" s="396"/>
      <c r="AV58" s="396"/>
      <c r="AW58" s="396"/>
      <c r="AX58" s="396"/>
      <c r="AY58" s="396"/>
      <c r="AZ58" s="396"/>
      <c r="BA58" s="396"/>
      <c r="BB58" s="396"/>
      <c r="BC58" s="396"/>
      <c r="BD58" s="396"/>
    </row>
    <row r="59" spans="32:5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6"/>
      <c r="BD59" s="396"/>
    </row>
    <row r="60" spans="32:5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6"/>
      <c r="BC60" s="396"/>
      <c r="BD60" s="396"/>
    </row>
    <row r="61" spans="32:5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6"/>
      <c r="BC61" s="396"/>
      <c r="BD61" s="396"/>
    </row>
    <row r="62" spans="32:5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6"/>
      <c r="BC62" s="396"/>
      <c r="BD62" s="396"/>
    </row>
    <row r="63" spans="32:5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6"/>
      <c r="BD63" s="3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6"/>
  <dimension ref="A1:BD46"/>
  <sheetViews>
    <sheetView workbookViewId="0">
      <selection activeCell="BD2" sqref="A2:BD2"/>
    </sheetView>
  </sheetViews>
  <sheetFormatPr defaultRowHeight="12.75"/>
  <cols>
    <col min="1" max="1" width="37" customWidth="1"/>
    <col min="2" max="2" width="21.85546875" customWidth="1"/>
    <col min="3" max="3" width="34.140625" customWidth="1"/>
    <col min="4" max="4" width="18.140625" customWidth="1"/>
    <col min="5" max="5" width="30.5703125" bestFit="1" customWidth="1"/>
    <col min="6" max="6" width="16.7109375" customWidth="1"/>
    <col min="7" max="8" width="11.85546875" customWidth="1"/>
    <col min="9" max="9" width="11.5703125" customWidth="1"/>
    <col min="10" max="10" width="39.7109375" customWidth="1"/>
  </cols>
  <sheetData>
    <row r="1" spans="1:56" ht="15.75" thickBot="1">
      <c r="A1" s="90" t="s">
        <v>696</v>
      </c>
      <c r="B1" s="90" t="s">
        <v>744</v>
      </c>
      <c r="C1" s="90" t="s">
        <v>745</v>
      </c>
      <c r="D1" s="90" t="s">
        <v>746</v>
      </c>
      <c r="E1" s="90" t="s">
        <v>325</v>
      </c>
      <c r="F1" s="90" t="s">
        <v>747</v>
      </c>
      <c r="G1" s="90" t="s">
        <v>748</v>
      </c>
      <c r="H1" s="90" t="s">
        <v>749</v>
      </c>
      <c r="I1" s="90" t="s">
        <v>189</v>
      </c>
      <c r="J1" s="90" t="s">
        <v>190</v>
      </c>
      <c r="K1" s="91">
        <v>2016</v>
      </c>
      <c r="L1" s="324">
        <v>2017</v>
      </c>
      <c r="M1" s="324">
        <v>2018</v>
      </c>
      <c r="N1" s="324">
        <v>2019</v>
      </c>
      <c r="O1" s="324">
        <v>2020</v>
      </c>
      <c r="P1" s="324">
        <v>2021</v>
      </c>
      <c r="Q1" s="324">
        <v>2022</v>
      </c>
      <c r="R1" s="324">
        <v>2023</v>
      </c>
      <c r="S1" s="324">
        <v>2024</v>
      </c>
      <c r="T1" s="324">
        <v>2025</v>
      </c>
      <c r="U1" s="324">
        <v>2026</v>
      </c>
      <c r="V1" s="324">
        <v>2027</v>
      </c>
      <c r="W1" s="324">
        <v>2028</v>
      </c>
      <c r="X1" s="324">
        <v>2029</v>
      </c>
      <c r="Y1" s="324">
        <v>2030</v>
      </c>
      <c r="Z1" s="324">
        <v>2031</v>
      </c>
      <c r="AA1" s="324">
        <v>2032</v>
      </c>
      <c r="AB1" s="324">
        <v>2033</v>
      </c>
      <c r="AC1" s="324">
        <v>2034</v>
      </c>
      <c r="AD1" s="324">
        <v>2035</v>
      </c>
      <c r="AE1" s="325" t="s">
        <v>184</v>
      </c>
      <c r="AF1" s="245" t="s">
        <v>462</v>
      </c>
      <c r="AG1" s="246"/>
      <c r="AH1" s="246"/>
      <c r="AI1" s="246"/>
      <c r="AJ1" s="246"/>
      <c r="AK1" s="246"/>
      <c r="AL1" s="246"/>
      <c r="AM1" s="246"/>
      <c r="AN1" s="246"/>
      <c r="AO1" s="246"/>
      <c r="AP1" s="246"/>
      <c r="AQ1" s="247"/>
      <c r="AR1" s="244"/>
      <c r="AS1" s="245" t="s">
        <v>463</v>
      </c>
      <c r="AT1" s="246"/>
      <c r="AU1" s="246"/>
      <c r="AV1" s="246"/>
      <c r="AW1" s="246"/>
      <c r="AX1" s="246"/>
      <c r="AY1" s="246"/>
      <c r="AZ1" s="246"/>
      <c r="BA1" s="246"/>
      <c r="BB1" s="246"/>
      <c r="BC1" s="246"/>
      <c r="BD1" s="247"/>
    </row>
    <row r="2" spans="1:56" ht="15">
      <c r="A2" s="90"/>
      <c r="B2" s="90"/>
      <c r="C2" s="90"/>
      <c r="D2" s="90"/>
      <c r="E2" s="90"/>
      <c r="F2" s="90" t="s">
        <v>477</v>
      </c>
      <c r="G2" s="90" t="s">
        <v>466</v>
      </c>
      <c r="H2" s="90" t="s">
        <v>188</v>
      </c>
      <c r="I2" s="90">
        <v>1000</v>
      </c>
      <c r="J2" s="90"/>
      <c r="K2" s="92" t="str">
        <f t="shared" ref="K2:AD2" si="0">CONCATENATE("aMW_",K$1)</f>
        <v>aMW_2016</v>
      </c>
      <c r="L2" s="326" t="str">
        <f t="shared" si="0"/>
        <v>aMW_2017</v>
      </c>
      <c r="M2" s="326" t="str">
        <f t="shared" si="0"/>
        <v>aMW_2018</v>
      </c>
      <c r="N2" s="326" t="str">
        <f t="shared" si="0"/>
        <v>aMW_2019</v>
      </c>
      <c r="O2" s="326" t="str">
        <f t="shared" si="0"/>
        <v>aMW_2020</v>
      </c>
      <c r="P2" s="326" t="str">
        <f t="shared" si="0"/>
        <v>aMW_2021</v>
      </c>
      <c r="Q2" s="326" t="str">
        <f t="shared" si="0"/>
        <v>aMW_2022</v>
      </c>
      <c r="R2" s="326" t="str">
        <f t="shared" si="0"/>
        <v>aMW_2023</v>
      </c>
      <c r="S2" s="326" t="str">
        <f t="shared" si="0"/>
        <v>aMW_2024</v>
      </c>
      <c r="T2" s="326" t="str">
        <f t="shared" si="0"/>
        <v>aMW_2025</v>
      </c>
      <c r="U2" s="326" t="str">
        <f t="shared" si="0"/>
        <v>aMW_2026</v>
      </c>
      <c r="V2" s="326" t="str">
        <f t="shared" si="0"/>
        <v>aMW_2027</v>
      </c>
      <c r="W2" s="326" t="str">
        <f t="shared" si="0"/>
        <v>aMW_2028</v>
      </c>
      <c r="X2" s="326" t="str">
        <f t="shared" si="0"/>
        <v>aMW_2029</v>
      </c>
      <c r="Y2" s="326" t="str">
        <f t="shared" si="0"/>
        <v>aMW_2030</v>
      </c>
      <c r="Z2" s="326" t="str">
        <f t="shared" si="0"/>
        <v>aMW_2031</v>
      </c>
      <c r="AA2" s="326" t="str">
        <f t="shared" si="0"/>
        <v>aMW_2032</v>
      </c>
      <c r="AB2" s="326" t="str">
        <f t="shared" si="0"/>
        <v>aMW_2033</v>
      </c>
      <c r="AC2" s="326" t="str">
        <f t="shared" si="0"/>
        <v>aMW_2034</v>
      </c>
      <c r="AD2" s="326" t="str">
        <f t="shared" si="0"/>
        <v>aMW_2035</v>
      </c>
      <c r="AE2" s="327" t="s">
        <v>184</v>
      </c>
      <c r="AF2" s="328" t="s">
        <v>478</v>
      </c>
      <c r="AG2" s="329" t="s">
        <v>479</v>
      </c>
      <c r="AH2" s="329" t="s">
        <v>480</v>
      </c>
      <c r="AI2" s="329" t="s">
        <v>481</v>
      </c>
      <c r="AJ2" s="329" t="s">
        <v>482</v>
      </c>
      <c r="AK2" s="329" t="s">
        <v>483</v>
      </c>
      <c r="AL2" s="329" t="s">
        <v>484</v>
      </c>
      <c r="AM2" s="329" t="s">
        <v>485</v>
      </c>
      <c r="AN2" s="329" t="s">
        <v>486</v>
      </c>
      <c r="AO2" s="329" t="s">
        <v>487</v>
      </c>
      <c r="AP2" s="329" t="s">
        <v>488</v>
      </c>
      <c r="AQ2" s="329" t="s">
        <v>489</v>
      </c>
      <c r="AR2" s="250"/>
      <c r="AS2" s="250" t="s">
        <v>478</v>
      </c>
      <c r="AT2" s="250" t="s">
        <v>479</v>
      </c>
      <c r="AU2" s="250" t="s">
        <v>480</v>
      </c>
      <c r="AV2" s="250" t="s">
        <v>481</v>
      </c>
      <c r="AW2" s="250" t="s">
        <v>482</v>
      </c>
      <c r="AX2" s="250" t="s">
        <v>483</v>
      </c>
      <c r="AY2" s="250" t="s">
        <v>484</v>
      </c>
      <c r="AZ2" s="250" t="s">
        <v>485</v>
      </c>
      <c r="BA2" s="250" t="s">
        <v>486</v>
      </c>
      <c r="BB2" s="250" t="s">
        <v>487</v>
      </c>
      <c r="BC2" s="250" t="s">
        <v>488</v>
      </c>
      <c r="BD2" s="250" t="s">
        <v>489</v>
      </c>
    </row>
    <row r="3" spans="1:56" ht="15">
      <c r="A3" s="90" t="str">
        <f>VLOOKUP(CONCATENATE($C3,"-",$B3),[1]ACHIEV!$B$19:$C$100,2,FALSE)</f>
        <v>Retro3Slow</v>
      </c>
      <c r="B3" s="90" t="str">
        <f>'SC Retro'!$C$7</f>
        <v>Retro</v>
      </c>
      <c r="C3" s="89" t="str">
        <f>'7PSourceSummary'!$B$3</f>
        <v>Advanced Rooftop Controller</v>
      </c>
      <c r="D3" s="90" t="s">
        <v>750</v>
      </c>
      <c r="E3" s="330" t="str">
        <f>'SC Retro'!$A$9</f>
        <v>HVAC</v>
      </c>
      <c r="F3" s="332">
        <f t="shared" ref="F3:F20" si="1">VLOOKUP(J3,MeasureOutput,14,FALSE)</f>
        <v>2.324937496695904E-5</v>
      </c>
      <c r="G3" s="333">
        <f>INDEX('SC Retro'!$A$61:$D$78,MATCH($J3,'SC Retro'!$D$61:$D$78,0),1)</f>
        <v>0.12367585487615354</v>
      </c>
      <c r="H3" s="333">
        <f>INDEX('SC Retro'!$A$61:$D$78,MATCH($J3,'SC Retro'!$D$61:$D$78,0),2)</f>
        <v>68.450215737357013</v>
      </c>
      <c r="I3" s="71"/>
      <c r="J3" s="80" t="str">
        <f>'SC Retro'!D61</f>
        <v>Advanced Rooftop Controller-Retro-Large Off</v>
      </c>
      <c r="K3" s="93">
        <f>VLOOKUP($J3,SCRETRO,COLUMN()-9,FALSE)</f>
        <v>2.5233081902301453E-2</v>
      </c>
      <c r="L3" s="93">
        <f t="shared" ref="K3:T12" si="2">VLOOKUP($J3,SCRETRO,COLUMN()-9,FALSE)</f>
        <v>3.9545070458057392E-2</v>
      </c>
      <c r="M3" s="93">
        <f t="shared" si="2"/>
        <v>7.8852870493366464E-2</v>
      </c>
      <c r="N3" s="93">
        <f t="shared" si="2"/>
        <v>0.1375785457933012</v>
      </c>
      <c r="O3" s="93">
        <f t="shared" si="2"/>
        <v>0.21336903802032192</v>
      </c>
      <c r="P3" s="93">
        <f t="shared" si="2"/>
        <v>0.29782050326876519</v>
      </c>
      <c r="Q3" s="93">
        <f t="shared" si="2"/>
        <v>0.37790714405685688</v>
      </c>
      <c r="R3" s="93">
        <f t="shared" si="2"/>
        <v>0.43956899306213409</v>
      </c>
      <c r="S3" s="93">
        <f t="shared" si="2"/>
        <v>0.47196184655086648</v>
      </c>
      <c r="T3" s="93">
        <f t="shared" si="2"/>
        <v>0.47054596101121399</v>
      </c>
      <c r="U3" s="93">
        <f t="shared" ref="U3:AE12" si="3">VLOOKUP($J3,SCRETRO,COLUMN()-9,FALSE)</f>
        <v>0.43785870158630208</v>
      </c>
      <c r="V3" s="93">
        <f t="shared" si="3"/>
        <v>0.38197698479634984</v>
      </c>
      <c r="W3" s="93">
        <f t="shared" si="3"/>
        <v>0.31362557375220274</v>
      </c>
      <c r="X3" s="93">
        <f t="shared" si="3"/>
        <v>0.24319920880184726</v>
      </c>
      <c r="Y3" s="93">
        <f t="shared" si="3"/>
        <v>0.17866181876085233</v>
      </c>
      <c r="Z3" s="93">
        <f t="shared" si="3"/>
        <v>0.12468808331319836</v>
      </c>
      <c r="AA3" s="93">
        <f t="shared" si="3"/>
        <v>8.2876012708839167E-2</v>
      </c>
      <c r="AB3" s="93">
        <f t="shared" si="3"/>
        <v>5.2581062972271768E-2</v>
      </c>
      <c r="AC3" s="93">
        <f t="shared" si="3"/>
        <v>3.1909846824651381E-2</v>
      </c>
      <c r="AD3" s="93">
        <f t="shared" si="3"/>
        <v>1.8558235082435957E-2</v>
      </c>
      <c r="AE3" s="93">
        <f t="shared" si="3"/>
        <v>4.3081640490284805</v>
      </c>
      <c r="AF3" s="331">
        <f t="shared" ref="AF3:AQ12" si="4">VLOOKUP($J3,MeasureOutput,COLUMN()-17,FALSE)</f>
        <v>7.7551110544897672E-3</v>
      </c>
      <c r="AG3" s="331">
        <f t="shared" si="4"/>
        <v>6.9731028267153846E-3</v>
      </c>
      <c r="AH3" s="331">
        <f t="shared" si="4"/>
        <v>8.0242487400857473E-3</v>
      </c>
      <c r="AI3" s="331">
        <f t="shared" si="4"/>
        <v>7.4651268008822909E-3</v>
      </c>
      <c r="AJ3" s="331">
        <f t="shared" si="4"/>
        <v>7.6214523345385973E-3</v>
      </c>
      <c r="AK3" s="331">
        <f t="shared" si="4"/>
        <v>7.5442061298168521E-3</v>
      </c>
      <c r="AL3" s="331">
        <f t="shared" si="4"/>
        <v>7.167124604220719E-3</v>
      </c>
      <c r="AM3" s="331">
        <f t="shared" si="4"/>
        <v>7.4678716744599229E-3</v>
      </c>
      <c r="AN3" s="331">
        <f t="shared" si="4"/>
        <v>6.9773792576091186E-3</v>
      </c>
      <c r="AO3" s="331">
        <f t="shared" si="4"/>
        <v>7.9555381934164476E-3</v>
      </c>
      <c r="AP3" s="331">
        <f t="shared" si="4"/>
        <v>7.040218765811462E-3</v>
      </c>
      <c r="AQ3" s="331">
        <f t="shared" si="4"/>
        <v>7.6649578174699702E-3</v>
      </c>
      <c r="AR3" s="331"/>
      <c r="AS3" s="331">
        <f t="shared" ref="AS3:BD12" si="5">VLOOKUP($J3,MeasureOutput,COLUMN()-17,FALSE)</f>
        <v>3.2925074602524764E-3</v>
      </c>
      <c r="AT3" s="331">
        <f t="shared" si="5"/>
        <v>2.8288257730744999E-3</v>
      </c>
      <c r="AU3" s="331">
        <f t="shared" si="5"/>
        <v>2.7134394828996775E-3</v>
      </c>
      <c r="AV3" s="331">
        <f t="shared" si="5"/>
        <v>2.8332831999852127E-3</v>
      </c>
      <c r="AW3" s="331">
        <f t="shared" si="5"/>
        <v>2.7798306974915212E-3</v>
      </c>
      <c r="AX3" s="331">
        <f t="shared" si="5"/>
        <v>2.4392243487610533E-3</v>
      </c>
      <c r="AY3" s="331">
        <f t="shared" si="5"/>
        <v>2.8639594495536063E-3</v>
      </c>
      <c r="AZ3" s="331">
        <f t="shared" si="5"/>
        <v>2.3487364379229988E-3</v>
      </c>
      <c r="BA3" s="331">
        <f t="shared" si="5"/>
        <v>2.8915493249584679E-3</v>
      </c>
      <c r="BB3" s="331">
        <f t="shared" si="5"/>
        <v>2.597062354352862E-3</v>
      </c>
      <c r="BC3" s="331">
        <f t="shared" si="5"/>
        <v>3.1159411563331041E-3</v>
      </c>
      <c r="BD3" s="331">
        <f t="shared" si="5"/>
        <v>3.3151569910517729E-3</v>
      </c>
    </row>
    <row r="4" spans="1:56" ht="15">
      <c r="A4" s="90" t="str">
        <f>VLOOKUP(CONCATENATE($C4,"-",$B4),[1]ACHIEV!$B$19:$C$100,2,FALSE)</f>
        <v>Retro3Slow</v>
      </c>
      <c r="B4" s="90" t="str">
        <f>'SC Retro'!$C$7</f>
        <v>Retro</v>
      </c>
      <c r="C4" s="89" t="str">
        <f>'7PSourceSummary'!$B$3</f>
        <v>Advanced Rooftop Controller</v>
      </c>
      <c r="D4" s="90" t="s">
        <v>750</v>
      </c>
      <c r="E4" s="330" t="str">
        <f>'SC Retro'!$A$9</f>
        <v>HVAC</v>
      </c>
      <c r="F4" s="332">
        <f t="shared" si="1"/>
        <v>7.8037321595196869E-5</v>
      </c>
      <c r="G4" s="333">
        <f>INDEX('SC Retro'!$A$61:$D$78,MATCH($J4,'SC Retro'!$D$61:$D$78,0),1)</f>
        <v>0.41512223336099691</v>
      </c>
      <c r="H4" s="333">
        <f>INDEX('SC Retro'!$A$61:$D$78,MATCH($J4,'SC Retro'!$D$61:$D$78,0),2)</f>
        <v>75.005858154729395</v>
      </c>
      <c r="I4" s="71"/>
      <c r="J4" s="80" t="str">
        <f>'SC Retro'!D62</f>
        <v>Advanced Rooftop Controller-Retro-Medium Off</v>
      </c>
      <c r="K4" s="93">
        <f t="shared" si="2"/>
        <v>4.2502212805600174E-2</v>
      </c>
      <c r="L4" s="93">
        <f t="shared" si="2"/>
        <v>6.6609104925368243E-2</v>
      </c>
      <c r="M4" s="93">
        <f t="shared" si="2"/>
        <v>0.13281855522118433</v>
      </c>
      <c r="N4" s="93">
        <f t="shared" si="2"/>
        <v>0.23173517422216144</v>
      </c>
      <c r="O4" s="93">
        <f t="shared" si="2"/>
        <v>0.3593955068658809</v>
      </c>
      <c r="P4" s="93">
        <f t="shared" si="2"/>
        <v>0.50164424848339639</v>
      </c>
      <c r="Q4" s="93">
        <f t="shared" si="2"/>
        <v>0.63654094730284072</v>
      </c>
      <c r="R4" s="93">
        <f t="shared" si="2"/>
        <v>0.74040321187108771</v>
      </c>
      <c r="S4" s="93">
        <f t="shared" si="2"/>
        <v>0.79496523317666423</v>
      </c>
      <c r="T4" s="93">
        <f t="shared" si="2"/>
        <v>0.79258033747713441</v>
      </c>
      <c r="U4" s="93">
        <f t="shared" si="3"/>
        <v>0.73752242336705676</v>
      </c>
      <c r="V4" s="93">
        <f t="shared" si="3"/>
        <v>0.64339612408483549</v>
      </c>
      <c r="W4" s="93">
        <f t="shared" si="3"/>
        <v>0.52826606470447823</v>
      </c>
      <c r="X4" s="93">
        <f t="shared" si="3"/>
        <v>0.4096409850636174</v>
      </c>
      <c r="Y4" s="93">
        <f t="shared" si="3"/>
        <v>0.30093520365884152</v>
      </c>
      <c r="Z4" s="93">
        <f t="shared" si="3"/>
        <v>0.21002267863350466</v>
      </c>
      <c r="AA4" s="93">
        <f t="shared" si="3"/>
        <v>0.13959507373173607</v>
      </c>
      <c r="AB4" s="93">
        <f t="shared" si="3"/>
        <v>8.8566729052162507E-2</v>
      </c>
      <c r="AC4" s="93">
        <f t="shared" si="3"/>
        <v>5.3748452352613274E-2</v>
      </c>
      <c r="AD4" s="93">
        <f t="shared" si="3"/>
        <v>3.1259204080739199E-2</v>
      </c>
      <c r="AE4" s="93">
        <f t="shared" si="3"/>
        <v>7.2566048777634222</v>
      </c>
      <c r="AF4" s="331">
        <f t="shared" si="4"/>
        <v>2.6030295275711723E-2</v>
      </c>
      <c r="AG4" s="331">
        <f t="shared" si="4"/>
        <v>2.3405457935024215E-2</v>
      </c>
      <c r="AH4" s="331">
        <f t="shared" si="4"/>
        <v>2.6933665114861751E-2</v>
      </c>
      <c r="AI4" s="331">
        <f t="shared" si="4"/>
        <v>2.5056953218625461E-2</v>
      </c>
      <c r="AJ4" s="331">
        <f t="shared" si="4"/>
        <v>2.5581665214574383E-2</v>
      </c>
      <c r="AK4" s="331">
        <f t="shared" si="4"/>
        <v>2.5322385688632456E-2</v>
      </c>
      <c r="AL4" s="331">
        <f t="shared" si="4"/>
        <v>2.4056698661674848E-2</v>
      </c>
      <c r="AM4" s="331">
        <f t="shared" si="4"/>
        <v>2.5066166480591436E-2</v>
      </c>
      <c r="AN4" s="331">
        <f t="shared" si="4"/>
        <v>2.3419811921460764E-2</v>
      </c>
      <c r="AO4" s="331">
        <f t="shared" si="4"/>
        <v>2.6703035816868399E-2</v>
      </c>
      <c r="AP4" s="331">
        <f t="shared" si="4"/>
        <v>2.3630734878204305E-2</v>
      </c>
      <c r="AQ4" s="331">
        <f t="shared" si="4"/>
        <v>2.5727692854779539E-2</v>
      </c>
      <c r="AR4" s="331"/>
      <c r="AS4" s="331">
        <f t="shared" si="5"/>
        <v>1.1051413807702646E-2</v>
      </c>
      <c r="AT4" s="331">
        <f t="shared" si="5"/>
        <v>9.4950503789423026E-3</v>
      </c>
      <c r="AU4" s="331">
        <f t="shared" si="5"/>
        <v>9.1077523527869336E-3</v>
      </c>
      <c r="AV4" s="331">
        <f t="shared" si="5"/>
        <v>9.5100118846951562E-3</v>
      </c>
      <c r="AW4" s="331">
        <f t="shared" si="5"/>
        <v>9.3305967334019989E-3</v>
      </c>
      <c r="AX4" s="331">
        <f t="shared" si="5"/>
        <v>8.1873398840880043E-3</v>
      </c>
      <c r="AY4" s="331">
        <f t="shared" si="5"/>
        <v>9.6129777646943113E-3</v>
      </c>
      <c r="AZ4" s="331">
        <f t="shared" si="5"/>
        <v>7.8836141190477757E-3</v>
      </c>
      <c r="BA4" s="331">
        <f t="shared" si="5"/>
        <v>9.705584124340555E-3</v>
      </c>
      <c r="BB4" s="331">
        <f t="shared" si="5"/>
        <v>8.7171285437752932E-3</v>
      </c>
      <c r="BC4" s="331">
        <f t="shared" si="5"/>
        <v>1.0458762974662486E-2</v>
      </c>
      <c r="BD4" s="331">
        <f t="shared" si="5"/>
        <v>1.1127437731850152E-2</v>
      </c>
    </row>
    <row r="5" spans="1:56" ht="15">
      <c r="A5" s="90" t="str">
        <f>VLOOKUP(CONCATENATE($C5,"-",$B5),[1]ACHIEV!$B$19:$C$100,2,FALSE)</f>
        <v>Retro3Slow</v>
      </c>
      <c r="B5" s="90" t="str">
        <f>'SC Retro'!$C$7</f>
        <v>Retro</v>
      </c>
      <c r="C5" s="89" t="str">
        <f>'7PSourceSummary'!$B$3</f>
        <v>Advanced Rooftop Controller</v>
      </c>
      <c r="D5" s="90" t="s">
        <v>750</v>
      </c>
      <c r="E5" s="330" t="str">
        <f>'SC Retro'!$A$9</f>
        <v>HVAC</v>
      </c>
      <c r="F5" s="332">
        <f t="shared" si="1"/>
        <v>5.3555736501840944E-5</v>
      </c>
      <c r="G5" s="333">
        <f>INDEX('SC Retro'!$A$61:$D$78,MATCH($J5,'SC Retro'!$D$61:$D$78,0),1)</f>
        <v>0.2848915940665197</v>
      </c>
      <c r="H5" s="333">
        <f>INDEX('SC Retro'!$A$61:$D$78,MATCH($J5,'SC Retro'!$D$61:$D$78,0),2)</f>
        <v>68.323547872670318</v>
      </c>
      <c r="I5" s="71"/>
      <c r="J5" s="80" t="str">
        <f>'SC Retro'!D63</f>
        <v>Advanced Rooftop Controller-Retro-Small Off</v>
      </c>
      <c r="K5" s="93">
        <f t="shared" si="2"/>
        <v>2.8152302704647615E-2</v>
      </c>
      <c r="L5" s="93">
        <f t="shared" si="2"/>
        <v>4.4120048368340978E-2</v>
      </c>
      <c r="M5" s="93">
        <f t="shared" si="2"/>
        <v>8.7975376446471951E-2</v>
      </c>
      <c r="N5" s="93">
        <f t="shared" si="2"/>
        <v>0.15349503805498196</v>
      </c>
      <c r="O5" s="93">
        <f t="shared" si="2"/>
        <v>0.23805374901904863</v>
      </c>
      <c r="P5" s="93">
        <f t="shared" si="2"/>
        <v>0.33227542288078793</v>
      </c>
      <c r="Q5" s="93">
        <f t="shared" si="2"/>
        <v>0.42162730477909449</v>
      </c>
      <c r="R5" s="93">
        <f t="shared" si="2"/>
        <v>0.49042282667555009</v>
      </c>
      <c r="S5" s="93">
        <f t="shared" si="2"/>
        <v>0.52656321651825577</v>
      </c>
      <c r="T5" s="93">
        <f t="shared" si="2"/>
        <v>0.52498352686870098</v>
      </c>
      <c r="U5" s="93">
        <f t="shared" si="3"/>
        <v>0.48851467120222242</v>
      </c>
      <c r="V5" s="93">
        <f t="shared" si="3"/>
        <v>0.42616798629003821</v>
      </c>
      <c r="W5" s="93">
        <f t="shared" si="3"/>
        <v>0.34990898544919707</v>
      </c>
      <c r="X5" s="93">
        <f t="shared" si="3"/>
        <v>0.27133497882777213</v>
      </c>
      <c r="Y5" s="93">
        <f t="shared" si="3"/>
        <v>0.19933124391989757</v>
      </c>
      <c r="Z5" s="93">
        <f t="shared" si="3"/>
        <v>0.139113275131696</v>
      </c>
      <c r="AA5" s="93">
        <f t="shared" si="3"/>
        <v>9.2463956870867267E-2</v>
      </c>
      <c r="AB5" s="93">
        <f t="shared" si="3"/>
        <v>5.8664177727434895E-2</v>
      </c>
      <c r="AC5" s="93">
        <f t="shared" si="3"/>
        <v>3.5601504031284779E-2</v>
      </c>
      <c r="AD5" s="93">
        <f t="shared" si="3"/>
        <v>2.0705241386193729E-2</v>
      </c>
      <c r="AE5" s="93">
        <f t="shared" si="3"/>
        <v>4.8065764966453832</v>
      </c>
      <c r="AF5" s="331">
        <f t="shared" si="4"/>
        <v>1.7864165585828307E-2</v>
      </c>
      <c r="AG5" s="331">
        <f t="shared" si="4"/>
        <v>1.6062782682052364E-2</v>
      </c>
      <c r="AH5" s="331">
        <f t="shared" si="4"/>
        <v>1.8484133520148178E-2</v>
      </c>
      <c r="AI5" s="331">
        <f t="shared" si="4"/>
        <v>1.7196176863638744E-2</v>
      </c>
      <c r="AJ5" s="331">
        <f t="shared" si="4"/>
        <v>1.7556278118012459E-2</v>
      </c>
      <c r="AK5" s="331">
        <f t="shared" si="4"/>
        <v>1.7378338823226071E-2</v>
      </c>
      <c r="AL5" s="331">
        <f t="shared" si="4"/>
        <v>1.6509718533294027E-2</v>
      </c>
      <c r="AM5" s="331">
        <f t="shared" si="4"/>
        <v>1.7202499774524024E-2</v>
      </c>
      <c r="AN5" s="331">
        <f t="shared" si="4"/>
        <v>1.6072633587998809E-2</v>
      </c>
      <c r="AO5" s="331">
        <f t="shared" si="4"/>
        <v>1.8325856407858141E-2</v>
      </c>
      <c r="AP5" s="331">
        <f t="shared" si="4"/>
        <v>1.6217386560840992E-2</v>
      </c>
      <c r="AQ5" s="331">
        <f t="shared" si="4"/>
        <v>1.7656494497315954E-2</v>
      </c>
      <c r="AR5" s="331"/>
      <c r="AS5" s="331">
        <f t="shared" si="5"/>
        <v>7.58440440752593E-3</v>
      </c>
      <c r="AT5" s="331">
        <f t="shared" si="5"/>
        <v>6.5162976608058986E-3</v>
      </c>
      <c r="AU5" s="331">
        <f t="shared" si="5"/>
        <v>6.2505013647200939E-3</v>
      </c>
      <c r="AV5" s="331">
        <f t="shared" si="5"/>
        <v>6.5265654973152938E-3</v>
      </c>
      <c r="AW5" s="331">
        <f t="shared" si="5"/>
        <v>6.4034358156363465E-3</v>
      </c>
      <c r="AX5" s="331">
        <f t="shared" si="5"/>
        <v>5.6188373526932806E-3</v>
      </c>
      <c r="AY5" s="331">
        <f t="shared" si="5"/>
        <v>6.597229295421024E-3</v>
      </c>
      <c r="AZ5" s="331">
        <f t="shared" si="5"/>
        <v>5.4103953315063858E-3</v>
      </c>
      <c r="BA5" s="331">
        <f t="shared" si="5"/>
        <v>6.660783524272392E-3</v>
      </c>
      <c r="BB5" s="331">
        <f t="shared" si="5"/>
        <v>5.9824226382961931E-3</v>
      </c>
      <c r="BC5" s="331">
        <f t="shared" si="5"/>
        <v>7.1776778412742138E-3</v>
      </c>
      <c r="BD5" s="331">
        <f t="shared" si="5"/>
        <v>7.6365783823145574E-3</v>
      </c>
    </row>
    <row r="6" spans="1:56" ht="15">
      <c r="A6" s="90" t="str">
        <f>VLOOKUP(CONCATENATE($C6,"-",$B6),[1]ACHIEV!$B$19:$C$100,2,FALSE)</f>
        <v>Retro3Slow</v>
      </c>
      <c r="B6" s="90" t="str">
        <f>'SC Retro'!$C$7</f>
        <v>Retro</v>
      </c>
      <c r="C6" s="89" t="str">
        <f>'7PSourceSummary'!$B$3</f>
        <v>Advanced Rooftop Controller</v>
      </c>
      <c r="D6" s="90" t="s">
        <v>750</v>
      </c>
      <c r="E6" s="330" t="str">
        <f>'SC Retro'!$A$9</f>
        <v>HVAC</v>
      </c>
      <c r="F6" s="332">
        <f t="shared" si="1"/>
        <v>1.8921019897327204E-4</v>
      </c>
      <c r="G6" s="333">
        <f>INDEX('SC Retro'!$A$61:$D$78,MATCH($J6,'SC Retro'!$D$61:$D$78,0),1)</f>
        <v>1.0065102026425481</v>
      </c>
      <c r="H6" s="333">
        <f>INDEX('SC Retro'!$A$61:$D$78,MATCH($J6,'SC Retro'!$D$61:$D$78,0),2)</f>
        <v>9.5833976838980899</v>
      </c>
      <c r="I6" s="71"/>
      <c r="J6" s="80" t="str">
        <f>'SC Retro'!D64</f>
        <v>Advanced Rooftop Controller-Retro-XLarge Ret</v>
      </c>
      <c r="K6" s="93">
        <f t="shared" si="2"/>
        <v>7.4751735468098962E-2</v>
      </c>
      <c r="L6" s="93">
        <f t="shared" si="2"/>
        <v>0.11696227695631788</v>
      </c>
      <c r="M6" s="93">
        <f t="shared" si="2"/>
        <v>0.23284850096463763</v>
      </c>
      <c r="N6" s="93">
        <f t="shared" si="2"/>
        <v>0.40561044625535064</v>
      </c>
      <c r="O6" s="93">
        <f t="shared" si="2"/>
        <v>0.62804721498178462</v>
      </c>
      <c r="P6" s="93">
        <f t="shared" si="2"/>
        <v>0.87522147691001528</v>
      </c>
      <c r="Q6" s="93">
        <f t="shared" si="2"/>
        <v>1.1087942194206561</v>
      </c>
      <c r="R6" s="93">
        <f t="shared" si="2"/>
        <v>1.2876427270132076</v>
      </c>
      <c r="S6" s="93">
        <f t="shared" si="2"/>
        <v>1.3803133835819421</v>
      </c>
      <c r="T6" s="93">
        <f t="shared" si="2"/>
        <v>1.3739639420174652</v>
      </c>
      <c r="U6" s="93">
        <f t="shared" si="3"/>
        <v>1.2764674606919073</v>
      </c>
      <c r="V6" s="93">
        <f t="shared" si="3"/>
        <v>1.1117712465761327</v>
      </c>
      <c r="W6" s="93">
        <f t="shared" si="3"/>
        <v>0.91136466963449081</v>
      </c>
      <c r="X6" s="93">
        <f t="shared" si="3"/>
        <v>0.70557852723102343</v>
      </c>
      <c r="Y6" s="93">
        <f t="shared" si="3"/>
        <v>0.51750842758319349</v>
      </c>
      <c r="Z6" s="93">
        <f t="shared" si="3"/>
        <v>0.36058952217141627</v>
      </c>
      <c r="AA6" s="93">
        <f t="shared" si="3"/>
        <v>0.23928720691295183</v>
      </c>
      <c r="AB6" s="93">
        <f t="shared" si="3"/>
        <v>0.1515732182116426</v>
      </c>
      <c r="AC6" s="93">
        <f t="shared" si="3"/>
        <v>9.1837553900443569E-2</v>
      </c>
      <c r="AD6" s="93">
        <f t="shared" si="3"/>
        <v>5.3325475672290033E-2</v>
      </c>
      <c r="AE6" s="93">
        <f t="shared" si="3"/>
        <v>12.37913498607044</v>
      </c>
      <c r="AF6" s="331">
        <f t="shared" si="4"/>
        <v>6.3113357144661139E-2</v>
      </c>
      <c r="AG6" s="331">
        <f t="shared" si="4"/>
        <v>5.6749145952480436E-2</v>
      </c>
      <c r="AH6" s="331">
        <f t="shared" si="4"/>
        <v>6.5303678179750982E-2</v>
      </c>
      <c r="AI6" s="331">
        <f t="shared" si="4"/>
        <v>6.0753380654877565E-2</v>
      </c>
      <c r="AJ6" s="331">
        <f t="shared" si="4"/>
        <v>6.2025603472469354E-2</v>
      </c>
      <c r="AK6" s="331">
        <f t="shared" si="4"/>
        <v>6.1396951313600442E-2</v>
      </c>
      <c r="AL6" s="331">
        <f t="shared" si="4"/>
        <v>5.8328151804427165E-2</v>
      </c>
      <c r="AM6" s="331">
        <f t="shared" si="4"/>
        <v>6.0775719237162816E-2</v>
      </c>
      <c r="AN6" s="331">
        <f t="shared" si="4"/>
        <v>5.678394879519981E-2</v>
      </c>
      <c r="AO6" s="331">
        <f t="shared" si="4"/>
        <v>6.4744491697304174E-2</v>
      </c>
      <c r="AP6" s="331">
        <f t="shared" si="4"/>
        <v>5.7295355053099011E-2</v>
      </c>
      <c r="AQ6" s="331">
        <f t="shared" si="4"/>
        <v>6.2379663789943335E-2</v>
      </c>
      <c r="AR6" s="331"/>
      <c r="AS6" s="331">
        <f t="shared" si="5"/>
        <v>2.6795386652789542E-2</v>
      </c>
      <c r="AT6" s="331">
        <f t="shared" si="5"/>
        <v>2.3021809753802365E-2</v>
      </c>
      <c r="AU6" s="331">
        <f t="shared" si="5"/>
        <v>2.2082762448066496E-2</v>
      </c>
      <c r="AV6" s="331">
        <f t="shared" si="5"/>
        <v>2.3058085594932866E-2</v>
      </c>
      <c r="AW6" s="331">
        <f t="shared" si="5"/>
        <v>2.2623073529153721E-2</v>
      </c>
      <c r="AX6" s="331">
        <f t="shared" si="5"/>
        <v>1.9851119654847878E-2</v>
      </c>
      <c r="AY6" s="331">
        <f t="shared" si="5"/>
        <v>2.3307737866997736E-2</v>
      </c>
      <c r="AZ6" s="331">
        <f t="shared" si="5"/>
        <v>1.9114702626920204E-2</v>
      </c>
      <c r="BA6" s="331">
        <f t="shared" si="5"/>
        <v>2.353227232533997E-2</v>
      </c>
      <c r="BB6" s="331">
        <f t="shared" si="5"/>
        <v>2.1135651410476262E-2</v>
      </c>
      <c r="BC6" s="331">
        <f t="shared" si="5"/>
        <v>2.5358438539387022E-2</v>
      </c>
      <c r="BD6" s="331">
        <f t="shared" si="5"/>
        <v>2.6979715144857676E-2</v>
      </c>
    </row>
    <row r="7" spans="1:56" ht="15">
      <c r="A7" s="90" t="str">
        <f>VLOOKUP(CONCATENATE($C7,"-",$B7),[1]ACHIEV!$B$19:$C$100,2,FALSE)</f>
        <v>Retro3Slow</v>
      </c>
      <c r="B7" s="90" t="str">
        <f>'SC Retro'!$C$7</f>
        <v>Retro</v>
      </c>
      <c r="C7" s="89" t="str">
        <f>'7PSourceSummary'!$B$3</f>
        <v>Advanced Rooftop Controller</v>
      </c>
      <c r="D7" s="90" t="s">
        <v>750</v>
      </c>
      <c r="E7" s="330" t="str">
        <f>'SC Retro'!$A$9</f>
        <v>HVAC</v>
      </c>
      <c r="F7" s="332">
        <f t="shared" si="1"/>
        <v>2.3229957882234747E-4</v>
      </c>
      <c r="G7" s="333">
        <f>INDEX('SC Retro'!$A$61:$D$78,MATCH($J7,'SC Retro'!$D$61:$D$78,0),1)</f>
        <v>1.2357256502187177</v>
      </c>
      <c r="H7" s="333">
        <f>INDEX('SC Retro'!$A$61:$D$78,MATCH($J7,'SC Retro'!$D$61:$D$78,0),2)</f>
        <v>6.0459335408393819</v>
      </c>
      <c r="I7" s="71"/>
      <c r="J7" s="80" t="str">
        <f>'SC Retro'!D65</f>
        <v>Advanced Rooftop Controller-Retro-Large Ret</v>
      </c>
      <c r="K7" s="93">
        <f t="shared" si="2"/>
        <v>0.13860561233829263</v>
      </c>
      <c r="L7" s="93">
        <f t="shared" si="2"/>
        <v>0.21687293166497629</v>
      </c>
      <c r="M7" s="93">
        <f t="shared" si="2"/>
        <v>0.43175063235863492</v>
      </c>
      <c r="N7" s="93">
        <f t="shared" si="2"/>
        <v>0.75208801403712422</v>
      </c>
      <c r="O7" s="93">
        <f t="shared" si="2"/>
        <v>1.1645330809350829</v>
      </c>
      <c r="P7" s="93">
        <f t="shared" si="2"/>
        <v>1.6228467202678933</v>
      </c>
      <c r="Q7" s="93">
        <f t="shared" si="2"/>
        <v>2.0559402504513873</v>
      </c>
      <c r="R7" s="93">
        <f t="shared" si="2"/>
        <v>2.3875634128491958</v>
      </c>
      <c r="S7" s="93">
        <f t="shared" si="2"/>
        <v>2.5593945150847102</v>
      </c>
      <c r="T7" s="93">
        <f t="shared" si="2"/>
        <v>2.547621300315321</v>
      </c>
      <c r="U7" s="93">
        <f t="shared" si="3"/>
        <v>2.3668420928449483</v>
      </c>
      <c r="V7" s="93">
        <f t="shared" si="3"/>
        <v>2.0614602918156262</v>
      </c>
      <c r="W7" s="93">
        <f t="shared" si="3"/>
        <v>1.6898638848603422</v>
      </c>
      <c r="X7" s="93">
        <f t="shared" si="3"/>
        <v>1.3082926196588787</v>
      </c>
      <c r="Y7" s="93">
        <f t="shared" si="3"/>
        <v>0.95957066476412223</v>
      </c>
      <c r="Z7" s="93">
        <f t="shared" si="3"/>
        <v>0.66860964779434229</v>
      </c>
      <c r="AA7" s="93">
        <f t="shared" si="3"/>
        <v>0.44368936227632544</v>
      </c>
      <c r="AB7" s="93">
        <f t="shared" si="3"/>
        <v>0.2810489762244533</v>
      </c>
      <c r="AC7" s="93">
        <f t="shared" si="3"/>
        <v>0.17028635274232856</v>
      </c>
      <c r="AD7" s="93">
        <f t="shared" si="3"/>
        <v>9.8876770719828422E-2</v>
      </c>
      <c r="AE7" s="93">
        <f t="shared" si="3"/>
        <v>22.953548492461646</v>
      </c>
      <c r="AF7" s="331">
        <f t="shared" si="4"/>
        <v>7.7486342503345879E-2</v>
      </c>
      <c r="AG7" s="331">
        <f t="shared" si="4"/>
        <v>6.9672791291506136E-2</v>
      </c>
      <c r="AH7" s="331">
        <f t="shared" si="4"/>
        <v>8.0175471613182989E-2</v>
      </c>
      <c r="AI7" s="331">
        <f t="shared" si="4"/>
        <v>7.4588921816817186E-2</v>
      </c>
      <c r="AJ7" s="331">
        <f t="shared" si="4"/>
        <v>7.6150871575860035E-2</v>
      </c>
      <c r="AK7" s="331">
        <f t="shared" si="4"/>
        <v>7.5379054662588707E-2</v>
      </c>
      <c r="AL7" s="331">
        <f t="shared" si="4"/>
        <v>7.1611388662872269E-2</v>
      </c>
      <c r="AM7" s="331">
        <f t="shared" si="4"/>
        <v>7.4616347628345903E-2</v>
      </c>
      <c r="AN7" s="331">
        <f t="shared" si="4"/>
        <v>6.9715519885151733E-2</v>
      </c>
      <c r="AO7" s="331">
        <f t="shared" si="4"/>
        <v>7.9488939993532334E-2</v>
      </c>
      <c r="AP7" s="331">
        <f t="shared" si="4"/>
        <v>7.0343390153042945E-2</v>
      </c>
      <c r="AQ7" s="331">
        <f t="shared" si="4"/>
        <v>7.6585563062224013E-2</v>
      </c>
      <c r="AR7" s="331"/>
      <c r="AS7" s="331">
        <f t="shared" si="5"/>
        <v>3.2897576703591162E-2</v>
      </c>
      <c r="AT7" s="331">
        <f t="shared" si="5"/>
        <v>2.8264632343058614E-2</v>
      </c>
      <c r="AU7" s="331">
        <f t="shared" si="5"/>
        <v>2.7111733108237151E-2</v>
      </c>
      <c r="AV7" s="331">
        <f t="shared" si="5"/>
        <v>2.8309169385257019E-2</v>
      </c>
      <c r="AW7" s="331">
        <f t="shared" si="5"/>
        <v>2.777509077738341E-2</v>
      </c>
      <c r="AX7" s="331">
        <f t="shared" si="5"/>
        <v>2.4371871918091457E-2</v>
      </c>
      <c r="AY7" s="331">
        <f t="shared" si="5"/>
        <v>2.8615675683371027E-2</v>
      </c>
      <c r="AZ7" s="331">
        <f t="shared" si="5"/>
        <v>2.3467748533868554E-2</v>
      </c>
      <c r="BA7" s="331">
        <f t="shared" si="5"/>
        <v>2.8891344016193681E-2</v>
      </c>
      <c r="BB7" s="331">
        <f t="shared" si="5"/>
        <v>2.5948933764839772E-2</v>
      </c>
      <c r="BC7" s="331">
        <f t="shared" si="5"/>
        <v>3.1133388285924914E-2</v>
      </c>
      <c r="BD7" s="331">
        <f t="shared" si="5"/>
        <v>3.3123882850430712E-2</v>
      </c>
    </row>
    <row r="8" spans="1:56" ht="15">
      <c r="A8" s="90" t="str">
        <f>VLOOKUP(CONCATENATE($C8,"-",$B8),[1]ACHIEV!$B$19:$C$100,2,FALSE)</f>
        <v>Retro3Slow</v>
      </c>
      <c r="B8" s="90" t="str">
        <f>'SC Retro'!$C$7</f>
        <v>Retro</v>
      </c>
      <c r="C8" s="89" t="str">
        <f>'7PSourceSummary'!$B$3</f>
        <v>Advanced Rooftop Controller</v>
      </c>
      <c r="D8" s="90" t="s">
        <v>750</v>
      </c>
      <c r="E8" s="330" t="str">
        <f>'SC Retro'!$A$9</f>
        <v>HVAC</v>
      </c>
      <c r="F8" s="332">
        <f t="shared" si="1"/>
        <v>7.9780559418868961E-5</v>
      </c>
      <c r="G8" s="333">
        <f>INDEX('SC Retro'!$A$61:$D$78,MATCH($J8,'SC Retro'!$D$61:$D$78,0),1)</f>
        <v>0.42439544730337114</v>
      </c>
      <c r="H8" s="333">
        <f>INDEX('SC Retro'!$A$61:$D$78,MATCH($J8,'SC Retro'!$D$61:$D$78,0),2)</f>
        <v>20.103111884906212</v>
      </c>
      <c r="I8" s="71"/>
      <c r="J8" s="80" t="str">
        <f>'SC Retro'!D66</f>
        <v>Advanced Rooftop Controller-Retro-Medium Ret</v>
      </c>
      <c r="K8" s="93">
        <f t="shared" si="2"/>
        <v>2.2123865454027079E-2</v>
      </c>
      <c r="L8" s="93">
        <f t="shared" si="2"/>
        <v>3.4616690333330626E-2</v>
      </c>
      <c r="M8" s="93">
        <f t="shared" si="2"/>
        <v>6.8914907115594615E-2</v>
      </c>
      <c r="N8" s="93">
        <f t="shared" si="2"/>
        <v>0.12004632245001008</v>
      </c>
      <c r="O8" s="93">
        <f t="shared" si="2"/>
        <v>0.1858797256815955</v>
      </c>
      <c r="P8" s="93">
        <f t="shared" si="2"/>
        <v>0.25903455052084406</v>
      </c>
      <c r="Q8" s="93">
        <f t="shared" si="2"/>
        <v>0.32816380747620694</v>
      </c>
      <c r="R8" s="93">
        <f t="shared" si="2"/>
        <v>0.38109662962211915</v>
      </c>
      <c r="S8" s="93">
        <f t="shared" si="2"/>
        <v>0.40852386090476922</v>
      </c>
      <c r="T8" s="93">
        <f t="shared" si="2"/>
        <v>0.40664465114460724</v>
      </c>
      <c r="U8" s="93">
        <f t="shared" si="3"/>
        <v>0.37778914669938629</v>
      </c>
      <c r="V8" s="93">
        <f t="shared" si="3"/>
        <v>0.32904490204649767</v>
      </c>
      <c r="W8" s="93">
        <f t="shared" si="3"/>
        <v>0.26973165511524522</v>
      </c>
      <c r="X8" s="93">
        <f t="shared" si="3"/>
        <v>0.20882624739022307</v>
      </c>
      <c r="Y8" s="93">
        <f t="shared" si="3"/>
        <v>0.15316416069111585</v>
      </c>
      <c r="Z8" s="93">
        <f t="shared" si="3"/>
        <v>0.1067217238863553</v>
      </c>
      <c r="AA8" s="93">
        <f t="shared" si="3"/>
        <v>7.0820535970985338E-2</v>
      </c>
      <c r="AB8" s="93">
        <f t="shared" si="3"/>
        <v>4.4860302776239321E-2</v>
      </c>
      <c r="AC8" s="93">
        <f t="shared" si="3"/>
        <v>2.7180662407329192E-2</v>
      </c>
      <c r="AD8" s="93">
        <f t="shared" si="3"/>
        <v>1.5782451626814947E-2</v>
      </c>
      <c r="AE8" s="93">
        <f t="shared" si="3"/>
        <v>3.6637853978111372</v>
      </c>
      <c r="AF8" s="331">
        <f t="shared" si="4"/>
        <v>2.661177339872263E-2</v>
      </c>
      <c r="AG8" s="331">
        <f t="shared" si="4"/>
        <v>2.3928301091589079E-2</v>
      </c>
      <c r="AH8" s="331">
        <f t="shared" si="4"/>
        <v>2.7535323177934414E-2</v>
      </c>
      <c r="AI8" s="331">
        <f t="shared" si="4"/>
        <v>2.5616688326184283E-2</v>
      </c>
      <c r="AJ8" s="331">
        <f t="shared" si="4"/>
        <v>2.6153121608553279E-2</v>
      </c>
      <c r="AK8" s="331">
        <f t="shared" si="4"/>
        <v>2.5888050163215777E-2</v>
      </c>
      <c r="AL8" s="331">
        <f t="shared" si="4"/>
        <v>2.4594089568518766E-2</v>
      </c>
      <c r="AM8" s="331">
        <f t="shared" si="4"/>
        <v>2.5626107398734353E-2</v>
      </c>
      <c r="AN8" s="331">
        <f t="shared" si="4"/>
        <v>2.394297572475677E-2</v>
      </c>
      <c r="AO8" s="331">
        <f t="shared" si="4"/>
        <v>2.7299541964071951E-2</v>
      </c>
      <c r="AP8" s="331">
        <f t="shared" si="4"/>
        <v>2.4158610386983793E-2</v>
      </c>
      <c r="AQ8" s="331">
        <f t="shared" si="4"/>
        <v>2.6302411289286013E-2</v>
      </c>
      <c r="AR8" s="331"/>
      <c r="AS8" s="331">
        <f t="shared" si="5"/>
        <v>1.1298285972979842E-2</v>
      </c>
      <c r="AT8" s="331">
        <f t="shared" si="5"/>
        <v>9.7071556975244187E-3</v>
      </c>
      <c r="AU8" s="331">
        <f t="shared" si="5"/>
        <v>9.3112060088769676E-3</v>
      </c>
      <c r="AV8" s="331">
        <f t="shared" si="5"/>
        <v>9.7224514210873438E-3</v>
      </c>
      <c r="AW8" s="331">
        <f t="shared" si="5"/>
        <v>9.5390284018730346E-3</v>
      </c>
      <c r="AX8" s="331">
        <f t="shared" si="5"/>
        <v>8.3702328930925531E-3</v>
      </c>
      <c r="AY8" s="331">
        <f t="shared" si="5"/>
        <v>9.8277174058683265E-3</v>
      </c>
      <c r="AZ8" s="331">
        <f t="shared" si="5"/>
        <v>8.0597223457094819E-3</v>
      </c>
      <c r="BA8" s="331">
        <f t="shared" si="5"/>
        <v>9.9223924540029502E-3</v>
      </c>
      <c r="BB8" s="331">
        <f t="shared" si="5"/>
        <v>8.9118562443253856E-3</v>
      </c>
      <c r="BC8" s="331">
        <f t="shared" si="5"/>
        <v>1.0692396200836346E-2</v>
      </c>
      <c r="BD8" s="331">
        <f t="shared" si="5"/>
        <v>1.1376008158643362E-2</v>
      </c>
    </row>
    <row r="9" spans="1:56" ht="15">
      <c r="A9" s="90" t="str">
        <f>VLOOKUP(CONCATENATE($C9,"-",$B9),[1]ACHIEV!$B$19:$C$100,2,FALSE)</f>
        <v>Retro3Slow</v>
      </c>
      <c r="B9" s="90" t="str">
        <f>'SC Retro'!$C$7</f>
        <v>Retro</v>
      </c>
      <c r="C9" s="89" t="str">
        <f>'7PSourceSummary'!$B$3</f>
        <v>Advanced Rooftop Controller</v>
      </c>
      <c r="D9" s="90" t="s">
        <v>750</v>
      </c>
      <c r="E9" s="330" t="str">
        <f>'SC Retro'!$A$9</f>
        <v>HVAC</v>
      </c>
      <c r="F9" s="332">
        <f t="shared" si="1"/>
        <v>5.3571855087473207E-6</v>
      </c>
      <c r="G9" s="333">
        <f>INDEX('SC Retro'!$A$61:$D$78,MATCH($J9,'SC Retro'!$D$61:$D$78,0),1)</f>
        <v>2.8497733744070924E-2</v>
      </c>
      <c r="H9" s="333">
        <f>INDEX('SC Retro'!$A$61:$D$78,MATCH($J9,'SC Retro'!$D$61:$D$78,0),2)</f>
        <v>72.600335126113649</v>
      </c>
      <c r="I9" s="71"/>
      <c r="J9" s="80" t="str">
        <f>'SC Retro'!D67</f>
        <v>Advanced Rooftop Controller-Retro-Small Ret</v>
      </c>
      <c r="K9" s="93">
        <f t="shared" si="2"/>
        <v>1.6747294626946658E-3</v>
      </c>
      <c r="L9" s="93">
        <f t="shared" si="2"/>
        <v>2.620409680337023E-3</v>
      </c>
      <c r="M9" s="93">
        <f t="shared" si="2"/>
        <v>5.2167115916149469E-3</v>
      </c>
      <c r="N9" s="93">
        <f t="shared" si="2"/>
        <v>9.0872507570136599E-3</v>
      </c>
      <c r="O9" s="93">
        <f t="shared" si="2"/>
        <v>1.4070699072159945E-2</v>
      </c>
      <c r="P9" s="93">
        <f t="shared" si="2"/>
        <v>1.9608363398999202E-2</v>
      </c>
      <c r="Q9" s="93">
        <f t="shared" si="2"/>
        <v>2.4841300816644853E-2</v>
      </c>
      <c r="R9" s="93">
        <f t="shared" si="2"/>
        <v>2.8848202638369669E-2</v>
      </c>
      <c r="S9" s="93">
        <f t="shared" si="2"/>
        <v>3.0924385591328013E-2</v>
      </c>
      <c r="T9" s="93">
        <f t="shared" si="2"/>
        <v>3.0782133417607896E-2</v>
      </c>
      <c r="U9" s="93">
        <f t="shared" si="3"/>
        <v>2.8597833230294467E-2</v>
      </c>
      <c r="V9" s="93">
        <f t="shared" si="3"/>
        <v>2.4907997797755703E-2</v>
      </c>
      <c r="W9" s="93">
        <f t="shared" si="3"/>
        <v>2.0418111418259059E-2</v>
      </c>
      <c r="X9" s="93">
        <f t="shared" si="3"/>
        <v>1.5807701860016184E-2</v>
      </c>
      <c r="Y9" s="93">
        <f t="shared" si="3"/>
        <v>1.1594200528444322E-2</v>
      </c>
      <c r="Z9" s="93">
        <f t="shared" si="3"/>
        <v>8.0786070442094033E-3</v>
      </c>
      <c r="AA9" s="93">
        <f t="shared" si="3"/>
        <v>5.36096363453736E-3</v>
      </c>
      <c r="AB9" s="93">
        <f t="shared" si="3"/>
        <v>3.395829310248134E-3</v>
      </c>
      <c r="AC9" s="93">
        <f t="shared" si="3"/>
        <v>2.0575182146041178E-3</v>
      </c>
      <c r="AD9" s="93">
        <f t="shared" si="3"/>
        <v>1.1946979513098241E-3</v>
      </c>
      <c r="AE9" s="93">
        <f t="shared" si="3"/>
        <v>0.2773407460579152</v>
      </c>
      <c r="AF9" s="331">
        <f t="shared" si="4"/>
        <v>1.7869542135597804E-3</v>
      </c>
      <c r="AG9" s="331">
        <f t="shared" si="4"/>
        <v>1.6067617072447577E-3</v>
      </c>
      <c r="AH9" s="331">
        <f t="shared" si="4"/>
        <v>1.848969666069004E-3</v>
      </c>
      <c r="AI9" s="331">
        <f t="shared" si="4"/>
        <v>1.7201352369895007E-3</v>
      </c>
      <c r="AJ9" s="331">
        <f t="shared" si="4"/>
        <v>1.7561562003375875E-3</v>
      </c>
      <c r="AK9" s="331">
        <f t="shared" si="4"/>
        <v>1.7383569154480296E-3</v>
      </c>
      <c r="AL9" s="331">
        <f t="shared" si="4"/>
        <v>1.6514687437268194E-3</v>
      </c>
      <c r="AM9" s="331">
        <f t="shared" si="4"/>
        <v>1.7207677183776813E-3</v>
      </c>
      <c r="AN9" s="331">
        <f t="shared" si="4"/>
        <v>1.6077470943205664E-3</v>
      </c>
      <c r="AO9" s="331">
        <f t="shared" si="4"/>
        <v>1.83313719119869E-3</v>
      </c>
      <c r="AP9" s="331">
        <f t="shared" si="4"/>
        <v>1.622226748212201E-3</v>
      </c>
      <c r="AQ9" s="331">
        <f t="shared" si="4"/>
        <v>1.7661808544645146E-3</v>
      </c>
      <c r="AR9" s="331"/>
      <c r="AS9" s="331">
        <f t="shared" si="5"/>
        <v>7.5866870737704365E-4</v>
      </c>
      <c r="AT9" s="331">
        <f t="shared" si="5"/>
        <v>6.5182588606457596E-4</v>
      </c>
      <c r="AU9" s="331">
        <f t="shared" si="5"/>
        <v>6.2523825682675113E-4</v>
      </c>
      <c r="AV9" s="331">
        <f t="shared" si="5"/>
        <v>6.5285297874497308E-4</v>
      </c>
      <c r="AW9" s="331">
        <f t="shared" si="5"/>
        <v>6.4053630476244925E-4</v>
      </c>
      <c r="AX9" s="331">
        <f t="shared" si="5"/>
        <v>5.6205284453182507E-4</v>
      </c>
      <c r="AY9" s="331">
        <f t="shared" si="5"/>
        <v>6.5992148531274382E-4</v>
      </c>
      <c r="AZ9" s="331">
        <f t="shared" si="5"/>
        <v>5.4120236896646628E-4</v>
      </c>
      <c r="BA9" s="331">
        <f t="shared" si="5"/>
        <v>6.6627882097949269E-4</v>
      </c>
      <c r="BB9" s="331">
        <f t="shared" si="5"/>
        <v>5.9842231586117048E-4</v>
      </c>
      <c r="BC9" s="331">
        <f t="shared" si="5"/>
        <v>7.1798380956649159E-4</v>
      </c>
      <c r="BD9" s="331">
        <f t="shared" si="5"/>
        <v>7.6388767512780499E-4</v>
      </c>
    </row>
    <row r="10" spans="1:56" ht="15">
      <c r="A10" s="90" t="str">
        <f>VLOOKUP(CONCATENATE($C10,"-",$B10),[1]ACHIEV!$B$19:$C$100,2,FALSE)</f>
        <v>Retro3Slow</v>
      </c>
      <c r="B10" s="90" t="str">
        <f>'SC Retro'!$C$7</f>
        <v>Retro</v>
      </c>
      <c r="C10" s="89" t="str">
        <f>'7PSourceSummary'!$B$3</f>
        <v>Advanced Rooftop Controller</v>
      </c>
      <c r="D10" s="90" t="s">
        <v>750</v>
      </c>
      <c r="E10" s="330" t="str">
        <f>'SC Retro'!$A$9</f>
        <v>HVAC</v>
      </c>
      <c r="F10" s="332">
        <f t="shared" si="1"/>
        <v>1.0514952932098688E-5</v>
      </c>
      <c r="G10" s="333">
        <f>INDEX('SC Retro'!$A$61:$D$78,MATCH($J10,'SC Retro'!$D$61:$D$78,0),1)</f>
        <v>0.114179434646312</v>
      </c>
      <c r="H10" s="333">
        <f>INDEX('SC Retro'!$A$61:$D$78,MATCH($J10,'SC Retro'!$D$61:$D$78,0),2)</f>
        <v>87.960293111858334</v>
      </c>
      <c r="I10" s="71"/>
      <c r="J10" s="80" t="str">
        <f>'SC Retro'!D68</f>
        <v>Advanced Rooftop Controller-Retro-School K-12</v>
      </c>
      <c r="K10" s="93">
        <f t="shared" si="2"/>
        <v>1.4778071539187672E-2</v>
      </c>
      <c r="L10" s="93">
        <f t="shared" si="2"/>
        <v>2.3134514773928468E-2</v>
      </c>
      <c r="M10" s="93">
        <f t="shared" si="2"/>
        <v>4.6079326526710741E-2</v>
      </c>
      <c r="N10" s="93">
        <f t="shared" si="2"/>
        <v>8.030820225391469E-2</v>
      </c>
      <c r="O10" s="93">
        <f t="shared" si="2"/>
        <v>0.12441168230504786</v>
      </c>
      <c r="P10" s="93">
        <f t="shared" si="2"/>
        <v>0.17346223217063589</v>
      </c>
      <c r="Q10" s="93">
        <f t="shared" si="2"/>
        <v>0.21986495620566443</v>
      </c>
      <c r="R10" s="93">
        <f t="shared" si="2"/>
        <v>0.2554574281994248</v>
      </c>
      <c r="S10" s="93">
        <f t="shared" si="2"/>
        <v>0.27398005680102289</v>
      </c>
      <c r="T10" s="93">
        <f t="shared" si="2"/>
        <v>0.27285673856813869</v>
      </c>
      <c r="U10" s="93">
        <f t="shared" si="3"/>
        <v>0.25362215754400896</v>
      </c>
      <c r="V10" s="93">
        <f t="shared" si="3"/>
        <v>0.22100951836081847</v>
      </c>
      <c r="W10" s="93">
        <f t="shared" si="3"/>
        <v>0.18126160651162038</v>
      </c>
      <c r="X10" s="93">
        <f t="shared" si="3"/>
        <v>0.14040322638605113</v>
      </c>
      <c r="Y10" s="93">
        <f t="shared" si="3"/>
        <v>0.10303084337948222</v>
      </c>
      <c r="Z10" s="93">
        <f t="shared" si="3"/>
        <v>7.1825891845138157E-2</v>
      </c>
      <c r="AA10" s="93">
        <f t="shared" si="3"/>
        <v>4.7687603792382065E-2</v>
      </c>
      <c r="AB10" s="93">
        <f t="shared" si="3"/>
        <v>3.0222235665257606E-2</v>
      </c>
      <c r="AC10" s="93">
        <f t="shared" si="3"/>
        <v>1.8320719260279471E-2</v>
      </c>
      <c r="AD10" s="93">
        <f t="shared" si="3"/>
        <v>1.0643269181598351E-2</v>
      </c>
      <c r="AE10" s="93">
        <f t="shared" si="3"/>
        <v>2.4707602554130452</v>
      </c>
      <c r="AF10" s="331">
        <f t="shared" si="4"/>
        <v>8.5601800417661935E-3</v>
      </c>
      <c r="AG10" s="331">
        <f t="shared" si="4"/>
        <v>7.852428451420675E-3</v>
      </c>
      <c r="AH10" s="331">
        <f t="shared" si="4"/>
        <v>8.6422570003630208E-3</v>
      </c>
      <c r="AI10" s="331">
        <f t="shared" si="4"/>
        <v>8.2151763844504171E-3</v>
      </c>
      <c r="AJ10" s="331">
        <f t="shared" si="4"/>
        <v>8.4058880309851574E-3</v>
      </c>
      <c r="AK10" s="331">
        <f t="shared" si="4"/>
        <v>8.0471026760579531E-3</v>
      </c>
      <c r="AL10" s="331">
        <f t="shared" si="4"/>
        <v>7.1199936584139647E-3</v>
      </c>
      <c r="AM10" s="331">
        <f t="shared" si="4"/>
        <v>8.3786535662772228E-3</v>
      </c>
      <c r="AN10" s="331">
        <f t="shared" si="4"/>
        <v>8.6420014582591579E-3</v>
      </c>
      <c r="AO10" s="331">
        <f t="shared" si="4"/>
        <v>8.8228044495565153E-3</v>
      </c>
      <c r="AP10" s="331">
        <f t="shared" si="4"/>
        <v>7.3884119599479199E-3</v>
      </c>
      <c r="AQ10" s="331">
        <f t="shared" si="4"/>
        <v>7.604401314533802E-3</v>
      </c>
      <c r="AR10" s="331"/>
      <c r="AS10" s="331">
        <f t="shared" si="5"/>
        <v>2.4507005249087281E-3</v>
      </c>
      <c r="AT10" s="331">
        <f t="shared" si="5"/>
        <v>1.8099829192867623E-3</v>
      </c>
      <c r="AU10" s="331">
        <f t="shared" si="5"/>
        <v>1.4849267499739984E-3</v>
      </c>
      <c r="AV10" s="331">
        <f t="shared" si="5"/>
        <v>1.1992489659343737E-3</v>
      </c>
      <c r="AW10" s="331">
        <f t="shared" si="5"/>
        <v>1.0332597681775892E-3</v>
      </c>
      <c r="AX10" s="331">
        <f t="shared" si="5"/>
        <v>9.0367397140339437E-4</v>
      </c>
      <c r="AY10" s="331">
        <f t="shared" si="5"/>
        <v>8.8580434949158716E-4</v>
      </c>
      <c r="AZ10" s="331">
        <f t="shared" si="5"/>
        <v>9.2664522486638563E-4</v>
      </c>
      <c r="BA10" s="331">
        <f t="shared" si="5"/>
        <v>1.1922744522358348E-3</v>
      </c>
      <c r="BB10" s="331">
        <f t="shared" si="5"/>
        <v>9.133300987017054E-4</v>
      </c>
      <c r="BC10" s="331">
        <f t="shared" si="5"/>
        <v>1.4855288065408819E-3</v>
      </c>
      <c r="BD10" s="331">
        <f t="shared" si="5"/>
        <v>2.214759822758755E-3</v>
      </c>
    </row>
    <row r="11" spans="1:56" ht="15">
      <c r="A11" s="90" t="str">
        <f>VLOOKUP(CONCATENATE($C11,"-",$B11),[1]ACHIEV!$B$19:$C$100,2,FALSE)</f>
        <v>Retro3Slow</v>
      </c>
      <c r="B11" s="90" t="str">
        <f>'SC Retro'!$C$7</f>
        <v>Retro</v>
      </c>
      <c r="C11" s="89" t="str">
        <f>'7PSourceSummary'!$B$3</f>
        <v>Advanced Rooftop Controller</v>
      </c>
      <c r="D11" s="90" t="s">
        <v>750</v>
      </c>
      <c r="E11" s="330" t="str">
        <f>'SC Retro'!$A$9</f>
        <v>HVAC</v>
      </c>
      <c r="F11" s="332">
        <f t="shared" si="1"/>
        <v>2.1440916875335303E-5</v>
      </c>
      <c r="G11" s="333">
        <f>INDEX('SC Retro'!$A$61:$D$78,MATCH($J11,'SC Retro'!$D$61:$D$78,0),1)</f>
        <v>0.1140556994609167</v>
      </c>
      <c r="H11" s="333">
        <f>INDEX('SC Retro'!$A$61:$D$78,MATCH($J11,'SC Retro'!$D$61:$D$78,0),2)</f>
        <v>82.616837725415991</v>
      </c>
      <c r="I11" s="71"/>
      <c r="J11" s="80" t="str">
        <f>'SC Retro'!D69</f>
        <v>Advanced Rooftop Controller-Retro-University</v>
      </c>
      <c r="K11" s="93">
        <f t="shared" si="2"/>
        <v>7.4786544402643115E-3</v>
      </c>
      <c r="L11" s="93">
        <f t="shared" si="2"/>
        <v>1.1707552042809426E-2</v>
      </c>
      <c r="M11" s="93">
        <f t="shared" si="2"/>
        <v>2.3319102158867816E-2</v>
      </c>
      <c r="N11" s="93">
        <f t="shared" si="2"/>
        <v>4.0641114220028828E-2</v>
      </c>
      <c r="O11" s="93">
        <f t="shared" si="2"/>
        <v>6.2960311013797066E-2</v>
      </c>
      <c r="P11" s="93">
        <f t="shared" si="2"/>
        <v>8.7783043234096636E-2</v>
      </c>
      <c r="Q11" s="93">
        <f t="shared" si="2"/>
        <v>0.11126580532688334</v>
      </c>
      <c r="R11" s="93">
        <f t="shared" si="2"/>
        <v>0.12927788477921695</v>
      </c>
      <c r="S11" s="93">
        <f t="shared" si="2"/>
        <v>0.13865152587097765</v>
      </c>
      <c r="T11" s="93">
        <f t="shared" si="2"/>
        <v>0.13808305461490666</v>
      </c>
      <c r="U11" s="93">
        <f t="shared" si="3"/>
        <v>0.12834911981825325</v>
      </c>
      <c r="V11" s="93">
        <f t="shared" si="3"/>
        <v>0.11184502737362355</v>
      </c>
      <c r="W11" s="93">
        <f t="shared" si="3"/>
        <v>9.1730028156440144E-2</v>
      </c>
      <c r="X11" s="93">
        <f t="shared" si="3"/>
        <v>7.1053060587443526E-2</v>
      </c>
      <c r="Y11" s="93">
        <f t="shared" si="3"/>
        <v>5.2140231712973321E-2</v>
      </c>
      <c r="Z11" s="93">
        <f t="shared" si="3"/>
        <v>3.6348519734064944E-2</v>
      </c>
      <c r="AA11" s="93">
        <f t="shared" si="3"/>
        <v>2.4132993868770183E-2</v>
      </c>
      <c r="AB11" s="93">
        <f t="shared" si="3"/>
        <v>1.5294394559759809E-2</v>
      </c>
      <c r="AC11" s="93">
        <f t="shared" si="3"/>
        <v>9.2714619821265519E-3</v>
      </c>
      <c r="AD11" s="93">
        <f t="shared" si="3"/>
        <v>5.3861785763329824E-3</v>
      </c>
      <c r="AE11" s="93">
        <f t="shared" si="3"/>
        <v>1.2503635610353165</v>
      </c>
      <c r="AF11" s="331">
        <f t="shared" si="4"/>
        <v>7.1518779199274789E-3</v>
      </c>
      <c r="AG11" s="331">
        <f t="shared" si="4"/>
        <v>6.430698385795173E-3</v>
      </c>
      <c r="AH11" s="331">
        <f t="shared" si="4"/>
        <v>7.4000806674458276E-3</v>
      </c>
      <c r="AI11" s="331">
        <f t="shared" si="4"/>
        <v>6.8844501595859593E-3</v>
      </c>
      <c r="AJ11" s="331">
        <f t="shared" si="4"/>
        <v>7.0286158748957541E-3</v>
      </c>
      <c r="AK11" s="331">
        <f t="shared" si="4"/>
        <v>6.9573782843485752E-3</v>
      </c>
      <c r="AL11" s="331">
        <f t="shared" si="4"/>
        <v>6.6096281337737171E-3</v>
      </c>
      <c r="AM11" s="331">
        <f t="shared" si="4"/>
        <v>6.8869815225277558E-3</v>
      </c>
      <c r="AN11" s="331">
        <f t="shared" si="4"/>
        <v>6.4346421735075729E-3</v>
      </c>
      <c r="AO11" s="331">
        <f t="shared" si="4"/>
        <v>7.3367147867849924E-3</v>
      </c>
      <c r="AP11" s="331">
        <f t="shared" si="4"/>
        <v>6.4925936958073402E-3</v>
      </c>
      <c r="AQ11" s="331">
        <f t="shared" si="4"/>
        <v>7.068737273620603E-3</v>
      </c>
      <c r="AR11" s="331"/>
      <c r="AS11" s="331">
        <f t="shared" si="5"/>
        <v>3.036398994253404E-3</v>
      </c>
      <c r="AT11" s="331">
        <f t="shared" si="5"/>
        <v>2.6087848960022896E-3</v>
      </c>
      <c r="AU11" s="331">
        <f t="shared" si="5"/>
        <v>2.5023739555057128E-3</v>
      </c>
      <c r="AV11" s="331">
        <f t="shared" si="5"/>
        <v>2.6128956009139831E-3</v>
      </c>
      <c r="AW11" s="331">
        <f t="shared" si="5"/>
        <v>2.5636009138794011E-3</v>
      </c>
      <c r="AX11" s="331">
        <f t="shared" si="5"/>
        <v>2.2494887099719844E-3</v>
      </c>
      <c r="AY11" s="331">
        <f t="shared" si="5"/>
        <v>2.6411856912057739E-3</v>
      </c>
      <c r="AZ11" s="331">
        <f t="shared" si="5"/>
        <v>2.1660394225283979E-3</v>
      </c>
      <c r="BA11" s="331">
        <f t="shared" si="5"/>
        <v>2.6666294816731382E-3</v>
      </c>
      <c r="BB11" s="331">
        <f t="shared" si="5"/>
        <v>2.395049249232594E-3</v>
      </c>
      <c r="BC11" s="331">
        <f t="shared" si="5"/>
        <v>2.8735669417487421E-3</v>
      </c>
      <c r="BD11" s="331">
        <f t="shared" si="5"/>
        <v>3.0572867259805246E-3</v>
      </c>
    </row>
    <row r="12" spans="1:56" ht="15">
      <c r="A12" s="90" t="str">
        <f>VLOOKUP(CONCATENATE($C12,"-",$B12),[1]ACHIEV!$B$19:$C$100,2,FALSE)</f>
        <v>Retro3Slow</v>
      </c>
      <c r="B12" s="90" t="str">
        <f>'SC Retro'!$C$7</f>
        <v>Retro</v>
      </c>
      <c r="C12" s="89" t="str">
        <f>'7PSourceSummary'!$B$3</f>
        <v>Advanced Rooftop Controller</v>
      </c>
      <c r="D12" s="90" t="s">
        <v>750</v>
      </c>
      <c r="E12" s="330" t="str">
        <f>'SC Retro'!$A$9</f>
        <v>HVAC</v>
      </c>
      <c r="F12" s="332">
        <f t="shared" si="1"/>
        <v>9.3906018660048138E-6</v>
      </c>
      <c r="G12" s="333">
        <f>INDEX('SC Retro'!$A$61:$D$78,MATCH($J12,'SC Retro'!$D$61:$D$78,0),1)</f>
        <v>4.9953631666669059E-2</v>
      </c>
      <c r="H12" s="333">
        <f>INDEX('SC Retro'!$A$61:$D$78,MATCH($J12,'SC Retro'!$D$61:$D$78,0),2)</f>
        <v>74.444690070180542</v>
      </c>
      <c r="I12" s="71"/>
      <c r="J12" s="80" t="str">
        <f>'SC Retro'!D70</f>
        <v>Advanced Rooftop Controller-Retro-Warehouse</v>
      </c>
      <c r="K12" s="93">
        <f t="shared" si="2"/>
        <v>1.2031572157170737E-2</v>
      </c>
      <c r="L12" s="93">
        <f t="shared" si="2"/>
        <v>1.8842538370666202E-2</v>
      </c>
      <c r="M12" s="93">
        <f t="shared" si="2"/>
        <v>3.7545641957389485E-2</v>
      </c>
      <c r="N12" s="93">
        <f t="shared" si="2"/>
        <v>6.5461765393757518E-2</v>
      </c>
      <c r="O12" s="93">
        <f t="shared" si="2"/>
        <v>0.10145264400724535</v>
      </c>
      <c r="P12" s="93">
        <f t="shared" si="2"/>
        <v>0.14150817691418585</v>
      </c>
      <c r="Q12" s="93">
        <f t="shared" si="2"/>
        <v>0.17943494120313169</v>
      </c>
      <c r="R12" s="93">
        <f t="shared" si="2"/>
        <v>0.20856620390746008</v>
      </c>
      <c r="S12" s="93">
        <f t="shared" si="2"/>
        <v>0.2237787019493872</v>
      </c>
      <c r="T12" s="93">
        <f t="shared" si="2"/>
        <v>0.22295072075217445</v>
      </c>
      <c r="U12" s="93">
        <f t="shared" si="3"/>
        <v>0.20731741621303212</v>
      </c>
      <c r="V12" s="93">
        <f t="shared" si="3"/>
        <v>0.18073154905141328</v>
      </c>
      <c r="W12" s="93">
        <f t="shared" si="3"/>
        <v>0.14828704661640707</v>
      </c>
      <c r="X12" s="93">
        <f t="shared" si="3"/>
        <v>0.11490763242305398</v>
      </c>
      <c r="Y12" s="93">
        <f t="shared" si="3"/>
        <v>8.4355507292802417E-2</v>
      </c>
      <c r="Z12" s="93">
        <f t="shared" si="3"/>
        <v>5.8830374341073105E-2</v>
      </c>
      <c r="AA12" s="93">
        <f t="shared" si="3"/>
        <v>3.9075134637340754E-2</v>
      </c>
      <c r="AB12" s="93">
        <f t="shared" si="3"/>
        <v>2.4773990588570782E-2</v>
      </c>
      <c r="AC12" s="93">
        <f t="shared" si="3"/>
        <v>1.5024025022935169E-2</v>
      </c>
      <c r="AD12" s="93">
        <f t="shared" si="3"/>
        <v>8.7315877427039321E-3</v>
      </c>
      <c r="AE12" s="93">
        <f t="shared" si="3"/>
        <v>2.0269768238713999</v>
      </c>
      <c r="AF12" s="331">
        <f t="shared" si="4"/>
        <v>3.1323491682190164E-3</v>
      </c>
      <c r="AG12" s="331">
        <f t="shared" si="4"/>
        <v>2.8164900135791379E-3</v>
      </c>
      <c r="AH12" s="331">
        <f t="shared" si="4"/>
        <v>3.2410559552256179E-3</v>
      </c>
      <c r="AI12" s="331">
        <f t="shared" si="4"/>
        <v>3.0152222916079948E-3</v>
      </c>
      <c r="AJ12" s="331">
        <f t="shared" si="4"/>
        <v>3.0783633803531055E-3</v>
      </c>
      <c r="AK12" s="331">
        <f t="shared" si="4"/>
        <v>3.0471630424845522E-3</v>
      </c>
      <c r="AL12" s="331">
        <f t="shared" si="4"/>
        <v>2.8948569059569535E-3</v>
      </c>
      <c r="AM12" s="331">
        <f t="shared" si="4"/>
        <v>3.0163309672165519E-3</v>
      </c>
      <c r="AN12" s="331">
        <f t="shared" si="4"/>
        <v>2.8182172970002022E-3</v>
      </c>
      <c r="AO12" s="331">
        <f t="shared" si="4"/>
        <v>3.2133032354779291E-3</v>
      </c>
      <c r="AP12" s="331">
        <f t="shared" si="4"/>
        <v>2.843598659029176E-3</v>
      </c>
      <c r="AQ12" s="331">
        <f t="shared" si="4"/>
        <v>3.0959355804564366E-3</v>
      </c>
      <c r="AR12" s="331"/>
      <c r="AS12" s="331">
        <f t="shared" si="5"/>
        <v>1.3298691575159259E-3</v>
      </c>
      <c r="AT12" s="331">
        <f t="shared" si="5"/>
        <v>1.1425845477991557E-3</v>
      </c>
      <c r="AU12" s="331">
        <f t="shared" si="5"/>
        <v>1.0959791352507778E-3</v>
      </c>
      <c r="AV12" s="331">
        <f t="shared" si="5"/>
        <v>1.1443849369074568E-3</v>
      </c>
      <c r="AW12" s="331">
        <f t="shared" si="5"/>
        <v>1.1227950588839298E-3</v>
      </c>
      <c r="AX12" s="331">
        <f t="shared" si="5"/>
        <v>9.8522152761666031E-4</v>
      </c>
      <c r="AY12" s="331">
        <f t="shared" si="5"/>
        <v>1.1567753107066827E-3</v>
      </c>
      <c r="AZ12" s="331">
        <f t="shared" si="5"/>
        <v>9.4867276251762772E-4</v>
      </c>
      <c r="BA12" s="331">
        <f t="shared" si="5"/>
        <v>1.1679190741767946E-3</v>
      </c>
      <c r="BB12" s="331">
        <f t="shared" si="5"/>
        <v>1.0489735154418532E-3</v>
      </c>
      <c r="BC12" s="331">
        <f t="shared" si="5"/>
        <v>1.2585526655493594E-3</v>
      </c>
      <c r="BD12" s="331">
        <f t="shared" si="5"/>
        <v>1.3390174776961577E-3</v>
      </c>
    </row>
    <row r="13" spans="1:56" ht="15">
      <c r="A13" s="90" t="str">
        <f>VLOOKUP(CONCATENATE($C13,"-",$B13),[1]ACHIEV!$B$19:$C$100,2,FALSE)</f>
        <v>Retro3Slow</v>
      </c>
      <c r="B13" s="90" t="str">
        <f>'SC Retro'!$C$7</f>
        <v>Retro</v>
      </c>
      <c r="C13" s="89" t="str">
        <f>'7PSourceSummary'!$B$3</f>
        <v>Advanced Rooftop Controller</v>
      </c>
      <c r="D13" s="90" t="s">
        <v>750</v>
      </c>
      <c r="E13" s="330" t="str">
        <f>'SC Retro'!$A$9</f>
        <v>HVAC</v>
      </c>
      <c r="F13" s="332">
        <f t="shared" si="1"/>
        <v>1.8574892904580788E-4</v>
      </c>
      <c r="G13" s="333">
        <f>INDEX('SC Retro'!$A$61:$D$78,MATCH($J13,'SC Retro'!$D$61:$D$78,0),1)</f>
        <v>0.98809785745715661</v>
      </c>
      <c r="H13" s="333">
        <f>INDEX('SC Retro'!$A$61:$D$78,MATCH($J13,'SC Retro'!$D$61:$D$78,0),2)</f>
        <v>22.614238448146263</v>
      </c>
      <c r="I13" s="71"/>
      <c r="J13" s="80" t="str">
        <f>'SC Retro'!D71</f>
        <v>Advanced Rooftop Controller-Retro-Supermarket</v>
      </c>
      <c r="K13" s="93">
        <f t="shared" ref="K13:T20" si="6">VLOOKUP($J13,SCRETRO,COLUMN()-9,FALSE)</f>
        <v>2.8493411459779228E-2</v>
      </c>
      <c r="L13" s="93">
        <f t="shared" si="6"/>
        <v>4.4385897107653935E-2</v>
      </c>
      <c r="M13" s="93">
        <f t="shared" si="6"/>
        <v>8.7972848067370116E-2</v>
      </c>
      <c r="N13" s="93">
        <f t="shared" si="6"/>
        <v>0.15256691176083662</v>
      </c>
      <c r="O13" s="93">
        <f t="shared" si="6"/>
        <v>0.23519037041887189</v>
      </c>
      <c r="P13" s="93">
        <f t="shared" si="6"/>
        <v>0.32630311991914268</v>
      </c>
      <c r="Q13" s="93">
        <f t="shared" si="6"/>
        <v>0.41155722597801714</v>
      </c>
      <c r="R13" s="93">
        <f t="shared" si="6"/>
        <v>0.4758287461015841</v>
      </c>
      <c r="S13" s="93">
        <f t="shared" si="6"/>
        <v>0.5078190787241057</v>
      </c>
      <c r="T13" s="93">
        <f t="shared" si="6"/>
        <v>0.50324870701558877</v>
      </c>
      <c r="U13" s="93">
        <f t="shared" ref="U13:AE20" si="7">VLOOKUP($J13,SCRETRO,COLUMN()-9,FALSE)</f>
        <v>0.46547150407561899</v>
      </c>
      <c r="V13" s="93">
        <f t="shared" si="7"/>
        <v>0.40362197797157073</v>
      </c>
      <c r="W13" s="93">
        <f t="shared" si="7"/>
        <v>0.32940301896338642</v>
      </c>
      <c r="X13" s="93">
        <f t="shared" si="7"/>
        <v>0.2538965269498904</v>
      </c>
      <c r="Y13" s="93">
        <f t="shared" si="7"/>
        <v>0.18539791657383103</v>
      </c>
      <c r="Z13" s="93">
        <f t="shared" si="7"/>
        <v>0.12861053472726611</v>
      </c>
      <c r="AA13" s="93">
        <f t="shared" si="7"/>
        <v>8.4968693276480461E-2</v>
      </c>
      <c r="AB13" s="93">
        <f t="shared" si="7"/>
        <v>5.3584347750813277E-2</v>
      </c>
      <c r="AC13" s="93">
        <f t="shared" si="7"/>
        <v>3.2323010464991128E-2</v>
      </c>
      <c r="AD13" s="93">
        <f t="shared" si="7"/>
        <v>1.8685393632969397E-2</v>
      </c>
      <c r="AE13" s="93">
        <f t="shared" si="7"/>
        <v>4.3376830142480367</v>
      </c>
      <c r="AF13" s="331">
        <f t="shared" ref="AF13:AQ20" si="8">VLOOKUP($J13,MeasureOutput,COLUMN()-17,FALSE)</f>
        <v>6.1958808572271672E-2</v>
      </c>
      <c r="AG13" s="331">
        <f t="shared" si="8"/>
        <v>5.5711019501789791E-2</v>
      </c>
      <c r="AH13" s="331">
        <f t="shared" si="8"/>
        <v>6.4109061511818097E-2</v>
      </c>
      <c r="AI13" s="331">
        <f t="shared" si="8"/>
        <v>5.9642003728086139E-2</v>
      </c>
      <c r="AJ13" s="331">
        <f t="shared" si="8"/>
        <v>6.0890953452560015E-2</v>
      </c>
      <c r="AK13" s="331">
        <f t="shared" si="8"/>
        <v>6.0273801386308397E-2</v>
      </c>
      <c r="AL13" s="331">
        <f t="shared" si="8"/>
        <v>5.7261140201137505E-2</v>
      </c>
      <c r="AM13" s="331">
        <f t="shared" si="8"/>
        <v>5.966393366504727E-2</v>
      </c>
      <c r="AN13" s="331">
        <f t="shared" si="8"/>
        <v>5.5745185687322882E-2</v>
      </c>
      <c r="AO13" s="331">
        <f t="shared" si="8"/>
        <v>6.3560104368836287E-2</v>
      </c>
      <c r="AP13" s="331">
        <f t="shared" si="8"/>
        <v>5.6247236661464715E-2</v>
      </c>
      <c r="AQ13" s="331">
        <f t="shared" si="8"/>
        <v>6.1238536855279767E-2</v>
      </c>
      <c r="AR13" s="331"/>
      <c r="AS13" s="331">
        <f t="shared" ref="AS13:BD20" si="9">VLOOKUP($J13,MeasureOutput,COLUMN()-17,FALSE)</f>
        <v>2.6305211881454009E-2</v>
      </c>
      <c r="AT13" s="331">
        <f t="shared" si="9"/>
        <v>2.2600665977150595E-2</v>
      </c>
      <c r="AU13" s="331">
        <f t="shared" si="9"/>
        <v>2.1678796900799015E-2</v>
      </c>
      <c r="AV13" s="331">
        <f t="shared" si="9"/>
        <v>2.2636278215163081E-2</v>
      </c>
      <c r="AW13" s="331">
        <f t="shared" si="9"/>
        <v>2.2209223934902562E-2</v>
      </c>
      <c r="AX13" s="331">
        <f t="shared" si="9"/>
        <v>1.9487978112475084E-2</v>
      </c>
      <c r="AY13" s="331">
        <f t="shared" si="9"/>
        <v>2.2881363535201531E-2</v>
      </c>
      <c r="AZ13" s="331">
        <f t="shared" si="9"/>
        <v>1.8765032547114809E-2</v>
      </c>
      <c r="BA13" s="331">
        <f t="shared" si="9"/>
        <v>2.3101790528023632E-2</v>
      </c>
      <c r="BB13" s="331">
        <f t="shared" si="9"/>
        <v>2.0749011604475211E-2</v>
      </c>
      <c r="BC13" s="331">
        <f t="shared" si="9"/>
        <v>2.4894550222583196E-2</v>
      </c>
      <c r="BD13" s="331">
        <f t="shared" si="9"/>
        <v>2.6486168405891266E-2</v>
      </c>
    </row>
    <row r="14" spans="1:56" ht="15">
      <c r="A14" s="90" t="str">
        <f>VLOOKUP(CONCATENATE($C14,"-",$B14),[1]ACHIEV!$B$19:$C$100,2,FALSE)</f>
        <v>Retro3Slow</v>
      </c>
      <c r="B14" s="90" t="str">
        <f>'SC Retro'!$C$7</f>
        <v>Retro</v>
      </c>
      <c r="C14" s="89" t="str">
        <f>'7PSourceSummary'!$B$3</f>
        <v>Advanced Rooftop Controller</v>
      </c>
      <c r="D14" s="90" t="s">
        <v>750</v>
      </c>
      <c r="E14" s="330" t="str">
        <f>'SC Retro'!$A$9</f>
        <v>HVAC</v>
      </c>
      <c r="F14" s="332">
        <f t="shared" si="1"/>
        <v>1.8574892904580788E-4</v>
      </c>
      <c r="G14" s="333">
        <f>INDEX('SC Retro'!$A$61:$D$78,MATCH($J14,'SC Retro'!$D$61:$D$78,0),1)</f>
        <v>0.98809785745715661</v>
      </c>
      <c r="H14" s="333">
        <f>INDEX('SC Retro'!$A$61:$D$78,MATCH($J14,'SC Retro'!$D$61:$D$78,0),2)</f>
        <v>22.614238448146263</v>
      </c>
      <c r="I14" s="71"/>
      <c r="J14" s="80" t="str">
        <f>'SC Retro'!D72</f>
        <v>Advanced Rooftop Controller-Retro-MiniMart</v>
      </c>
      <c r="K14" s="93">
        <f t="shared" si="6"/>
        <v>1.1929162239300628E-2</v>
      </c>
      <c r="L14" s="93">
        <f t="shared" si="6"/>
        <v>1.8663028540710513E-2</v>
      </c>
      <c r="M14" s="93">
        <f t="shared" si="6"/>
        <v>3.7149878091996741E-2</v>
      </c>
      <c r="N14" s="93">
        <f t="shared" si="6"/>
        <v>6.4705428667954437E-2</v>
      </c>
      <c r="O14" s="93">
        <f t="shared" si="6"/>
        <v>0.1001778074027759</v>
      </c>
      <c r="P14" s="93">
        <f t="shared" si="6"/>
        <v>0.13958695541256869</v>
      </c>
      <c r="Q14" s="93">
        <f t="shared" si="6"/>
        <v>0.17681758816020907</v>
      </c>
      <c r="R14" s="93">
        <f t="shared" si="6"/>
        <v>0.20531351066810835</v>
      </c>
      <c r="S14" s="93">
        <f t="shared" si="6"/>
        <v>0.22006323327450519</v>
      </c>
      <c r="T14" s="93">
        <f t="shared" si="6"/>
        <v>0.21902453481344952</v>
      </c>
      <c r="U14" s="93">
        <f t="shared" si="7"/>
        <v>0.20345802307518823</v>
      </c>
      <c r="V14" s="93">
        <f t="shared" si="7"/>
        <v>0.17718548855548902</v>
      </c>
      <c r="W14" s="93">
        <f t="shared" si="7"/>
        <v>0.14522873074665282</v>
      </c>
      <c r="X14" s="93">
        <f t="shared" si="7"/>
        <v>0.11242252866252239</v>
      </c>
      <c r="Y14" s="93">
        <f t="shared" si="7"/>
        <v>8.2446658977963064E-2</v>
      </c>
      <c r="Z14" s="93">
        <f t="shared" si="7"/>
        <v>5.7440257523310757E-2</v>
      </c>
      <c r="AA14" s="93">
        <f t="shared" si="7"/>
        <v>3.8112759671867148E-2</v>
      </c>
      <c r="AB14" s="93">
        <f t="shared" si="7"/>
        <v>2.4139097465773817E-2</v>
      </c>
      <c r="AC14" s="93">
        <f t="shared" si="7"/>
        <v>1.4624010998273953E-2</v>
      </c>
      <c r="AD14" s="93">
        <f t="shared" si="7"/>
        <v>8.4904083053774886E-3</v>
      </c>
      <c r="AE14" s="93">
        <f t="shared" si="7"/>
        <v>1.9709887098810737</v>
      </c>
      <c r="AF14" s="331">
        <f t="shared" si="8"/>
        <v>6.1958808572271672E-2</v>
      </c>
      <c r="AG14" s="331">
        <f t="shared" si="8"/>
        <v>5.5711019501789791E-2</v>
      </c>
      <c r="AH14" s="331">
        <f t="shared" si="8"/>
        <v>6.4109061511818097E-2</v>
      </c>
      <c r="AI14" s="331">
        <f t="shared" si="8"/>
        <v>5.9642003728086139E-2</v>
      </c>
      <c r="AJ14" s="331">
        <f t="shared" si="8"/>
        <v>6.0890953452560015E-2</v>
      </c>
      <c r="AK14" s="331">
        <f t="shared" si="8"/>
        <v>6.0273801386308397E-2</v>
      </c>
      <c r="AL14" s="331">
        <f t="shared" si="8"/>
        <v>5.7261140201137505E-2</v>
      </c>
      <c r="AM14" s="331">
        <f t="shared" si="8"/>
        <v>5.966393366504727E-2</v>
      </c>
      <c r="AN14" s="331">
        <f t="shared" si="8"/>
        <v>5.5745185687322882E-2</v>
      </c>
      <c r="AO14" s="331">
        <f t="shared" si="8"/>
        <v>6.3560104368836287E-2</v>
      </c>
      <c r="AP14" s="331">
        <f t="shared" si="8"/>
        <v>5.6247236661464715E-2</v>
      </c>
      <c r="AQ14" s="331">
        <f t="shared" si="8"/>
        <v>6.1238536855279767E-2</v>
      </c>
      <c r="AR14" s="331"/>
      <c r="AS14" s="331">
        <f t="shared" si="9"/>
        <v>2.6305211881454009E-2</v>
      </c>
      <c r="AT14" s="331">
        <f t="shared" si="9"/>
        <v>2.2600665977150595E-2</v>
      </c>
      <c r="AU14" s="331">
        <f t="shared" si="9"/>
        <v>2.1678796900799015E-2</v>
      </c>
      <c r="AV14" s="331">
        <f t="shared" si="9"/>
        <v>2.2636278215163081E-2</v>
      </c>
      <c r="AW14" s="331">
        <f t="shared" si="9"/>
        <v>2.2209223934902562E-2</v>
      </c>
      <c r="AX14" s="331">
        <f t="shared" si="9"/>
        <v>1.9487978112475084E-2</v>
      </c>
      <c r="AY14" s="331">
        <f t="shared" si="9"/>
        <v>2.2881363535201531E-2</v>
      </c>
      <c r="AZ14" s="331">
        <f t="shared" si="9"/>
        <v>1.8765032547114809E-2</v>
      </c>
      <c r="BA14" s="331">
        <f t="shared" si="9"/>
        <v>2.3101790528023632E-2</v>
      </c>
      <c r="BB14" s="331">
        <f t="shared" si="9"/>
        <v>2.0749011604475211E-2</v>
      </c>
      <c r="BC14" s="331">
        <f t="shared" si="9"/>
        <v>2.4894550222583196E-2</v>
      </c>
      <c r="BD14" s="331">
        <f t="shared" si="9"/>
        <v>2.6486168405891266E-2</v>
      </c>
    </row>
    <row r="15" spans="1:56" ht="15">
      <c r="A15" s="90" t="str">
        <f>VLOOKUP(CONCATENATE($C15,"-",$B15),[1]ACHIEV!$B$19:$C$100,2,FALSE)</f>
        <v>Retro3Slow</v>
      </c>
      <c r="B15" s="90" t="str">
        <f>'SC Retro'!$C$7</f>
        <v>Retro</v>
      </c>
      <c r="C15" s="89" t="str">
        <f>'7PSourceSummary'!$B$3</f>
        <v>Advanced Rooftop Controller</v>
      </c>
      <c r="D15" s="90" t="s">
        <v>750</v>
      </c>
      <c r="E15" s="330" t="str">
        <f>'SC Retro'!$A$9</f>
        <v>HVAC</v>
      </c>
      <c r="F15" s="332">
        <f t="shared" si="1"/>
        <v>4.0538184360117846E-4</v>
      </c>
      <c r="G15" s="333">
        <f>INDEX('SC Retro'!$A$61:$D$78,MATCH($J15,'SC Retro'!$D$61:$D$78,0),1)</f>
        <v>2.1564427486716466</v>
      </c>
      <c r="H15" s="333">
        <f>INDEX('SC Retro'!$A$61:$D$78,MATCH($J15,'SC Retro'!$D$61:$D$78,0),2)</f>
        <v>27.540932640005433</v>
      </c>
      <c r="I15" s="71"/>
      <c r="J15" s="80" t="str">
        <f>'SC Retro'!D73</f>
        <v>Advanced Rooftop Controller-Retro-Restaurant</v>
      </c>
      <c r="K15" s="93">
        <f t="shared" si="6"/>
        <v>5.967256639984285E-2</v>
      </c>
      <c r="L15" s="93">
        <f t="shared" si="6"/>
        <v>9.3357000892210315E-2</v>
      </c>
      <c r="M15" s="93">
        <f t="shared" si="6"/>
        <v>0.18583271169599819</v>
      </c>
      <c r="N15" s="93">
        <f t="shared" si="6"/>
        <v>0.32367226726938808</v>
      </c>
      <c r="O15" s="93">
        <f t="shared" si="6"/>
        <v>0.50111371981669672</v>
      </c>
      <c r="P15" s="93">
        <f t="shared" si="6"/>
        <v>0.69824784828282627</v>
      </c>
      <c r="Q15" s="93">
        <f t="shared" si="6"/>
        <v>0.88448451437682207</v>
      </c>
      <c r="R15" s="93">
        <f t="shared" si="6"/>
        <v>1.0270280387137907</v>
      </c>
      <c r="S15" s="93">
        <f t="shared" si="6"/>
        <v>1.1008097330149889</v>
      </c>
      <c r="T15" s="93">
        <f t="shared" si="6"/>
        <v>1.0956139110751584</v>
      </c>
      <c r="U15" s="93">
        <f t="shared" si="7"/>
        <v>1.0177464391872257</v>
      </c>
      <c r="V15" s="93">
        <f t="shared" si="7"/>
        <v>0.88632484149497859</v>
      </c>
      <c r="W15" s="93">
        <f t="shared" si="7"/>
        <v>0.72646937855315896</v>
      </c>
      <c r="X15" s="93">
        <f t="shared" si="7"/>
        <v>0.56236478906719134</v>
      </c>
      <c r="Y15" s="93">
        <f t="shared" si="7"/>
        <v>0.41241820956206016</v>
      </c>
      <c r="Z15" s="93">
        <f t="shared" si="7"/>
        <v>0.28733011692904797</v>
      </c>
      <c r="AA15" s="93">
        <f t="shared" si="7"/>
        <v>0.19064927918476191</v>
      </c>
      <c r="AB15" s="93">
        <f t="shared" si="7"/>
        <v>0.12074962746446101</v>
      </c>
      <c r="AC15" s="93">
        <f t="shared" si="7"/>
        <v>7.3152854309549195E-2</v>
      </c>
      <c r="AD15" s="93">
        <f t="shared" si="7"/>
        <v>4.247108415503606E-2</v>
      </c>
      <c r="AE15" s="93">
        <f t="shared" si="7"/>
        <v>9.8593641619056669</v>
      </c>
      <c r="AF15" s="331">
        <f t="shared" si="8"/>
        <v>0.13522003155219187</v>
      </c>
      <c r="AG15" s="331">
        <f t="shared" si="8"/>
        <v>0.12158474296757432</v>
      </c>
      <c r="AH15" s="331">
        <f t="shared" si="8"/>
        <v>0.13991278270462096</v>
      </c>
      <c r="AI15" s="331">
        <f t="shared" si="8"/>
        <v>0.13016379449163548</v>
      </c>
      <c r="AJ15" s="331">
        <f t="shared" si="8"/>
        <v>0.13288952510269889</v>
      </c>
      <c r="AK15" s="331">
        <f t="shared" si="8"/>
        <v>0.13154264120040915</v>
      </c>
      <c r="AL15" s="331">
        <f t="shared" si="8"/>
        <v>0.12496775459587263</v>
      </c>
      <c r="AM15" s="331">
        <f t="shared" si="8"/>
        <v>0.13021165478521041</v>
      </c>
      <c r="AN15" s="331">
        <f t="shared" si="8"/>
        <v>0.12165930787274698</v>
      </c>
      <c r="AO15" s="331">
        <f t="shared" si="8"/>
        <v>0.13871472864410403</v>
      </c>
      <c r="AP15" s="331">
        <f t="shared" si="8"/>
        <v>0.12275499305663944</v>
      </c>
      <c r="AQ15" s="331">
        <f t="shared" si="8"/>
        <v>0.13364809744722614</v>
      </c>
      <c r="AR15" s="331"/>
      <c r="AS15" s="331">
        <f t="shared" si="9"/>
        <v>5.7408973196252815E-2</v>
      </c>
      <c r="AT15" s="331">
        <f t="shared" si="9"/>
        <v>4.9324104787556028E-2</v>
      </c>
      <c r="AU15" s="331">
        <f t="shared" si="9"/>
        <v>4.7312200936211843E-2</v>
      </c>
      <c r="AV15" s="331">
        <f t="shared" si="9"/>
        <v>4.9401825583979597E-2</v>
      </c>
      <c r="AW15" s="331">
        <f t="shared" si="9"/>
        <v>4.8469814549842817E-2</v>
      </c>
      <c r="AX15" s="331">
        <f t="shared" si="9"/>
        <v>4.2530918137063993E-2</v>
      </c>
      <c r="AY15" s="331">
        <f t="shared" si="9"/>
        <v>4.9936704247276059E-2</v>
      </c>
      <c r="AZ15" s="331">
        <f t="shared" si="9"/>
        <v>4.0953148576751912E-2</v>
      </c>
      <c r="BA15" s="331">
        <f t="shared" si="9"/>
        <v>5.0417768128444666E-2</v>
      </c>
      <c r="BB15" s="331">
        <f t="shared" si="9"/>
        <v>4.528302058231564E-2</v>
      </c>
      <c r="BC15" s="331">
        <f t="shared" si="9"/>
        <v>5.4330319516211839E-2</v>
      </c>
      <c r="BD15" s="331">
        <f t="shared" si="9"/>
        <v>5.7803896008808815E-2</v>
      </c>
    </row>
    <row r="16" spans="1:56" ht="15">
      <c r="A16" s="90" t="str">
        <f>VLOOKUP(CONCATENATE($C16,"-",$B16),[1]ACHIEV!$B$19:$C$100,2,FALSE)</f>
        <v>Retro3Slow</v>
      </c>
      <c r="B16" s="90" t="str">
        <f>'SC Retro'!$C$7</f>
        <v>Retro</v>
      </c>
      <c r="C16" s="89" t="str">
        <f>'7PSourceSummary'!$B$3</f>
        <v>Advanced Rooftop Controller</v>
      </c>
      <c r="D16" s="90" t="s">
        <v>750</v>
      </c>
      <c r="E16" s="330" t="str">
        <f>'SC Retro'!$A$9</f>
        <v>HVAC</v>
      </c>
      <c r="F16" s="332">
        <f t="shared" si="1"/>
        <v>2.3001261491618969E-5</v>
      </c>
      <c r="G16" s="333">
        <f>INDEX('SC Retro'!$A$61:$D$78,MATCH($J16,'SC Retro'!$D$61:$D$78,0),1)</f>
        <v>0.12235600665603641</v>
      </c>
      <c r="H16" s="333">
        <f>INDEX('SC Retro'!$A$61:$D$78,MATCH($J16,'SC Retro'!$D$61:$D$78,0),2)</f>
        <v>46.229060844235001</v>
      </c>
      <c r="I16" s="71"/>
      <c r="J16" s="80" t="str">
        <f>'SC Retro'!D74</f>
        <v>Advanced Rooftop Controller-Retro-Lodging</v>
      </c>
      <c r="K16" s="93">
        <f t="shared" si="6"/>
        <v>1.1175397497204354E-2</v>
      </c>
      <c r="L16" s="93">
        <f t="shared" si="6"/>
        <v>1.7524527528413655E-2</v>
      </c>
      <c r="M16" s="93">
        <f t="shared" si="6"/>
        <v>3.4964937324690935E-2</v>
      </c>
      <c r="N16" s="93">
        <f t="shared" si="6"/>
        <v>6.1041787581445447E-2</v>
      </c>
      <c r="O16" s="93">
        <f t="shared" si="6"/>
        <v>9.4726002453055513E-2</v>
      </c>
      <c r="P16" s="93">
        <f t="shared" si="6"/>
        <v>0.13229812406603539</v>
      </c>
      <c r="Q16" s="93">
        <f t="shared" si="6"/>
        <v>0.1679753199959888</v>
      </c>
      <c r="R16" s="93">
        <f t="shared" si="6"/>
        <v>0.19550087576599823</v>
      </c>
      <c r="S16" s="93">
        <f t="shared" si="6"/>
        <v>0.21003411009986434</v>
      </c>
      <c r="T16" s="93">
        <f t="shared" si="6"/>
        <v>0.20953002823562467</v>
      </c>
      <c r="U16" s="93">
        <f t="shared" si="7"/>
        <v>0.19509201242333543</v>
      </c>
      <c r="V16" s="93">
        <f t="shared" si="7"/>
        <v>0.17029581764432933</v>
      </c>
      <c r="W16" s="93">
        <f t="shared" si="7"/>
        <v>0.13990702985575057</v>
      </c>
      <c r="X16" s="93">
        <f t="shared" si="7"/>
        <v>0.10855541898763095</v>
      </c>
      <c r="Y16" s="93">
        <f t="shared" si="7"/>
        <v>7.9796231776255416E-2</v>
      </c>
      <c r="Z16" s="93">
        <f t="shared" si="7"/>
        <v>5.5723304573994485E-2</v>
      </c>
      <c r="AA16" s="93">
        <f t="shared" si="7"/>
        <v>3.7059712428677935E-2</v>
      </c>
      <c r="AB16" s="93">
        <f t="shared" si="7"/>
        <v>2.352685307563129E-2</v>
      </c>
      <c r="AC16" s="93">
        <f t="shared" si="7"/>
        <v>1.4286323512847934E-2</v>
      </c>
      <c r="AD16" s="93">
        <f t="shared" si="7"/>
        <v>8.313687862909579E-3</v>
      </c>
      <c r="AE16" s="93">
        <f t="shared" si="7"/>
        <v>1.9299642992306665</v>
      </c>
      <c r="AF16" s="331">
        <f t="shared" si="8"/>
        <v>7.6723497949672138E-3</v>
      </c>
      <c r="AG16" s="331">
        <f t="shared" si="8"/>
        <v>6.8986870293574433E-3</v>
      </c>
      <c r="AH16" s="331">
        <f t="shared" si="8"/>
        <v>7.9386152878004601E-3</v>
      </c>
      <c r="AI16" s="331">
        <f t="shared" si="8"/>
        <v>7.3854602052403229E-3</v>
      </c>
      <c r="AJ16" s="331">
        <f t="shared" si="8"/>
        <v>7.5401174587172706E-3</v>
      </c>
      <c r="AK16" s="331">
        <f t="shared" si="8"/>
        <v>7.4636956126863541E-3</v>
      </c>
      <c r="AL16" s="331">
        <f t="shared" si="8"/>
        <v>7.0906382386183861E-3</v>
      </c>
      <c r="AM16" s="331">
        <f t="shared" si="8"/>
        <v>7.3881757859821824E-3</v>
      </c>
      <c r="AN16" s="331">
        <f t="shared" si="8"/>
        <v>6.9029178228896303E-3</v>
      </c>
      <c r="AO16" s="331">
        <f t="shared" si="8"/>
        <v>7.8706380086943032E-3</v>
      </c>
      <c r="AP16" s="331">
        <f t="shared" si="8"/>
        <v>6.9650867182780418E-3</v>
      </c>
      <c r="AQ16" s="331">
        <f t="shared" si="8"/>
        <v>7.5831586583471871E-3</v>
      </c>
      <c r="AR16" s="331"/>
      <c r="AS16" s="331">
        <f t="shared" si="9"/>
        <v>3.2573703664722209E-3</v>
      </c>
      <c r="AT16" s="331">
        <f t="shared" si="9"/>
        <v>2.7986370133901406E-3</v>
      </c>
      <c r="AU16" s="331">
        <f t="shared" si="9"/>
        <v>2.6844821065751963E-3</v>
      </c>
      <c r="AV16" s="331">
        <f t="shared" si="9"/>
        <v>2.8030468713798199E-3</v>
      </c>
      <c r="AW16" s="331">
        <f t="shared" si="9"/>
        <v>2.7501648051313251E-3</v>
      </c>
      <c r="AX16" s="331">
        <f t="shared" si="9"/>
        <v>2.4131933508884087E-3</v>
      </c>
      <c r="AY16" s="331">
        <f t="shared" si="9"/>
        <v>2.8333957490983622E-3</v>
      </c>
      <c r="AZ16" s="331">
        <f t="shared" si="9"/>
        <v>2.3236711120336309E-3</v>
      </c>
      <c r="BA16" s="331">
        <f t="shared" si="9"/>
        <v>2.8606911899267833E-3</v>
      </c>
      <c r="BB16" s="331">
        <f t="shared" si="9"/>
        <v>2.5693469354511021E-3</v>
      </c>
      <c r="BC16" s="331">
        <f t="shared" si="9"/>
        <v>3.0826883488769179E-3</v>
      </c>
      <c r="BD16" s="331">
        <f t="shared" si="9"/>
        <v>3.2797781852336922E-3</v>
      </c>
    </row>
    <row r="17" spans="1:56" ht="15">
      <c r="A17" s="90" t="str">
        <f>VLOOKUP(CONCATENATE($C17,"-",$B17),[1]ACHIEV!$B$19:$C$100,2,FALSE)</f>
        <v>Retro3Slow</v>
      </c>
      <c r="B17" s="90" t="str">
        <f>'SC Retro'!$C$7</f>
        <v>Retro</v>
      </c>
      <c r="C17" s="89" t="str">
        <f>'7PSourceSummary'!$B$3</f>
        <v>Advanced Rooftop Controller</v>
      </c>
      <c r="D17" s="90" t="s">
        <v>750</v>
      </c>
      <c r="E17" s="330" t="str">
        <f>'SC Retro'!$A$9</f>
        <v>HVAC</v>
      </c>
      <c r="F17" s="332">
        <f t="shared" si="1"/>
        <v>1.4817660497524398E-5</v>
      </c>
      <c r="G17" s="333">
        <f>INDEX('SC Retro'!$A$61:$D$78,MATCH($J17,'SC Retro'!$D$61:$D$78,0),1)</f>
        <v>0.122195039062654</v>
      </c>
      <c r="H17" s="333">
        <f>INDEX('SC Retro'!$A$61:$D$78,MATCH($J17,'SC Retro'!$D$61:$D$78,0),2)</f>
        <v>50.092356838313059</v>
      </c>
      <c r="I17" s="71"/>
      <c r="J17" s="80" t="str">
        <f>'SC Retro'!D75</f>
        <v>Advanced Rooftop Controller-Retro-Hospital</v>
      </c>
      <c r="K17" s="93">
        <f t="shared" si="6"/>
        <v>6.8891506273726019E-3</v>
      </c>
      <c r="L17" s="93">
        <f t="shared" si="6"/>
        <v>1.0806364222303145E-2</v>
      </c>
      <c r="M17" s="93">
        <f t="shared" si="6"/>
        <v>2.1567341714872623E-2</v>
      </c>
      <c r="N17" s="93">
        <f t="shared" si="6"/>
        <v>3.7663588020224938E-2</v>
      </c>
      <c r="O17" s="93">
        <f t="shared" si="6"/>
        <v>5.8464769199483832E-2</v>
      </c>
      <c r="P17" s="93">
        <f t="shared" si="6"/>
        <v>8.1678790457830844E-2</v>
      </c>
      <c r="Q17" s="93">
        <f t="shared" si="6"/>
        <v>0.10373651908819746</v>
      </c>
      <c r="R17" s="93">
        <f t="shared" si="6"/>
        <v>0.12077178446446427</v>
      </c>
      <c r="S17" s="93">
        <f t="shared" si="6"/>
        <v>0.12978879169532645</v>
      </c>
      <c r="T17" s="93">
        <f t="shared" si="6"/>
        <v>0.12951623523276626</v>
      </c>
      <c r="U17" s="93">
        <f t="shared" si="7"/>
        <v>0.12062796772952575</v>
      </c>
      <c r="V17" s="93">
        <f t="shared" si="7"/>
        <v>0.1053278178726319</v>
      </c>
      <c r="W17" s="93">
        <f t="shared" si="7"/>
        <v>8.6558400727728829E-2</v>
      </c>
      <c r="X17" s="93">
        <f t="shared" si="7"/>
        <v>6.7181821844822756E-2</v>
      </c>
      <c r="Y17" s="93">
        <f t="shared" si="7"/>
        <v>4.9398440013962305E-2</v>
      </c>
      <c r="Z17" s="93">
        <f t="shared" si="7"/>
        <v>3.4506292302952962E-2</v>
      </c>
      <c r="AA17" s="93">
        <f t="shared" si="7"/>
        <v>2.2955886059411169E-2</v>
      </c>
      <c r="AB17" s="93">
        <f t="shared" si="7"/>
        <v>1.4577613717345918E-2</v>
      </c>
      <c r="AC17" s="93">
        <f t="shared" si="7"/>
        <v>8.854696095632884E-3</v>
      </c>
      <c r="AD17" s="93">
        <f t="shared" si="7"/>
        <v>5.1543923864017897E-3</v>
      </c>
      <c r="AE17" s="93">
        <f t="shared" si="7"/>
        <v>1.1965560235142547</v>
      </c>
      <c r="AF17" s="331">
        <f t="shared" si="8"/>
        <v>5.791493985272682E-3</v>
      </c>
      <c r="AG17" s="331">
        <f t="shared" si="8"/>
        <v>5.3198835020671674E-3</v>
      </c>
      <c r="AH17" s="331">
        <f t="shared" si="8"/>
        <v>6.2098371887858803E-3</v>
      </c>
      <c r="AI17" s="331">
        <f t="shared" si="8"/>
        <v>5.7536333081047632E-3</v>
      </c>
      <c r="AJ17" s="331">
        <f t="shared" si="8"/>
        <v>6.0468733641925567E-3</v>
      </c>
      <c r="AK17" s="331">
        <f t="shared" si="8"/>
        <v>6.1375323093469302E-3</v>
      </c>
      <c r="AL17" s="331">
        <f t="shared" si="8"/>
        <v>5.9982717967843923E-3</v>
      </c>
      <c r="AM17" s="331">
        <f t="shared" si="8"/>
        <v>6.491219934644717E-3</v>
      </c>
      <c r="AN17" s="331">
        <f t="shared" si="8"/>
        <v>5.6908901711039987E-3</v>
      </c>
      <c r="AO17" s="331">
        <f t="shared" si="8"/>
        <v>6.2829184989565186E-3</v>
      </c>
      <c r="AP17" s="331">
        <f t="shared" si="8"/>
        <v>5.5236281049851977E-3</v>
      </c>
      <c r="AQ17" s="331">
        <f t="shared" si="8"/>
        <v>5.7684590808975899E-3</v>
      </c>
      <c r="AR17" s="331"/>
      <c r="AS17" s="331">
        <f t="shared" si="9"/>
        <v>4.5305868879029513E-3</v>
      </c>
      <c r="AT17" s="331">
        <f t="shared" si="9"/>
        <v>3.9877959707615039E-3</v>
      </c>
      <c r="AU17" s="331">
        <f t="shared" si="9"/>
        <v>4.060252837176143E-3</v>
      </c>
      <c r="AV17" s="331">
        <f t="shared" si="9"/>
        <v>4.1656427829458061E-3</v>
      </c>
      <c r="AW17" s="331">
        <f t="shared" si="9"/>
        <v>4.2807828443302267E-3</v>
      </c>
      <c r="AX17" s="331">
        <f t="shared" si="9"/>
        <v>3.9977095405229514E-3</v>
      </c>
      <c r="AY17" s="331">
        <f t="shared" si="9"/>
        <v>4.5791858507346263E-3</v>
      </c>
      <c r="AZ17" s="331">
        <f t="shared" si="9"/>
        <v>4.1537749754886333E-3</v>
      </c>
      <c r="BA17" s="331">
        <f t="shared" si="9"/>
        <v>4.4526399145718648E-3</v>
      </c>
      <c r="BB17" s="331">
        <f t="shared" si="9"/>
        <v>4.0699662356853787E-3</v>
      </c>
      <c r="BC17" s="331">
        <f t="shared" si="9"/>
        <v>4.3861784915572742E-3</v>
      </c>
      <c r="BD17" s="331">
        <f t="shared" si="9"/>
        <v>4.515881485834229E-3</v>
      </c>
    </row>
    <row r="18" spans="1:56" ht="15">
      <c r="A18" s="90" t="str">
        <f>VLOOKUP(CONCATENATE($C18,"-",$B18),[1]ACHIEV!$B$19:$C$100,2,FALSE)</f>
        <v>Retro3Slow</v>
      </c>
      <c r="B18" s="90" t="str">
        <f>'SC Retro'!$C$7</f>
        <v>Retro</v>
      </c>
      <c r="C18" s="89" t="str">
        <f>'7PSourceSummary'!$B$3</f>
        <v>Advanced Rooftop Controller</v>
      </c>
      <c r="D18" s="90" t="s">
        <v>750</v>
      </c>
      <c r="E18" s="330" t="str">
        <f>'SC Retro'!$A$9</f>
        <v>HVAC</v>
      </c>
      <c r="F18" s="332">
        <f t="shared" si="1"/>
        <v>9.1872907910982293E-5</v>
      </c>
      <c r="G18" s="333">
        <f>INDEX('SC Retro'!$A$61:$D$78,MATCH($J18,'SC Retro'!$D$61:$D$78,0),1)</f>
        <v>0.75763738633758693</v>
      </c>
      <c r="H18" s="333">
        <f>INDEX('SC Retro'!$A$61:$D$78,MATCH($J18,'SC Retro'!$D$61:$D$78,0),2)</f>
        <v>25.049984802238548</v>
      </c>
      <c r="I18" s="71"/>
      <c r="J18" s="80" t="str">
        <f>'SC Retro'!D76</f>
        <v>Advanced Rooftop Controller-Retro-Residential Care</v>
      </c>
      <c r="K18" s="93">
        <f t="shared" si="6"/>
        <v>5.236046402262149E-2</v>
      </c>
      <c r="L18" s="93">
        <f t="shared" si="6"/>
        <v>8.2108255513460585E-2</v>
      </c>
      <c r="M18" s="93">
        <f t="shared" si="6"/>
        <v>0.16382239140045665</v>
      </c>
      <c r="N18" s="93">
        <f t="shared" si="6"/>
        <v>0.28600113090691731</v>
      </c>
      <c r="O18" s="93">
        <f t="shared" si="6"/>
        <v>0.44382291052204098</v>
      </c>
      <c r="P18" s="93">
        <f t="shared" si="6"/>
        <v>0.61986082975150292</v>
      </c>
      <c r="Q18" s="93">
        <f t="shared" si="6"/>
        <v>0.78702039024012693</v>
      </c>
      <c r="R18" s="93">
        <f t="shared" si="6"/>
        <v>0.91598679818747564</v>
      </c>
      <c r="S18" s="93">
        <f t="shared" si="6"/>
        <v>0.98407984755427358</v>
      </c>
      <c r="T18" s="93">
        <f t="shared" si="6"/>
        <v>0.98171805592014316</v>
      </c>
      <c r="U18" s="93">
        <f t="shared" si="7"/>
        <v>0.91407113708020704</v>
      </c>
      <c r="V18" s="93">
        <f t="shared" si="7"/>
        <v>0.79789269555731168</v>
      </c>
      <c r="W18" s="93">
        <f t="shared" si="7"/>
        <v>0.65551109077833136</v>
      </c>
      <c r="X18" s="93">
        <f t="shared" si="7"/>
        <v>0.508618338791472</v>
      </c>
      <c r="Y18" s="93">
        <f t="shared" si="7"/>
        <v>0.37387195615248608</v>
      </c>
      <c r="Z18" s="93">
        <f t="shared" si="7"/>
        <v>0.26108226442040311</v>
      </c>
      <c r="AA18" s="93">
        <f t="shared" si="7"/>
        <v>0.17363711132386273</v>
      </c>
      <c r="AB18" s="93">
        <f t="shared" si="7"/>
        <v>0.11023115234516367</v>
      </c>
      <c r="AC18" s="93">
        <f t="shared" si="7"/>
        <v>6.6936189831022605E-2</v>
      </c>
      <c r="AD18" s="93">
        <f t="shared" si="7"/>
        <v>3.8952400068997924E-2</v>
      </c>
      <c r="AE18" s="93">
        <f t="shared" si="7"/>
        <v>9.0425263423597162</v>
      </c>
      <c r="AF18" s="331">
        <f t="shared" si="8"/>
        <v>3.5908596614483125E-2</v>
      </c>
      <c r="AG18" s="331">
        <f t="shared" si="8"/>
        <v>3.2984502996557877E-2</v>
      </c>
      <c r="AH18" s="331">
        <f t="shared" si="8"/>
        <v>3.8502420829714307E-2</v>
      </c>
      <c r="AI18" s="331">
        <f t="shared" si="8"/>
        <v>3.5673851695912695E-2</v>
      </c>
      <c r="AJ18" s="331">
        <f t="shared" si="8"/>
        <v>3.7492007583157252E-2</v>
      </c>
      <c r="AK18" s="331">
        <f t="shared" si="8"/>
        <v>3.8054113923821901E-2</v>
      </c>
      <c r="AL18" s="331">
        <f t="shared" si="8"/>
        <v>3.7190666671238957E-2</v>
      </c>
      <c r="AM18" s="331">
        <f t="shared" si="8"/>
        <v>4.024705866254543E-2</v>
      </c>
      <c r="AN18" s="331">
        <f t="shared" si="8"/>
        <v>3.5284829795412247E-2</v>
      </c>
      <c r="AO18" s="331">
        <f t="shared" si="8"/>
        <v>3.8955541784971903E-2</v>
      </c>
      <c r="AP18" s="331">
        <f t="shared" si="8"/>
        <v>3.4247766461419631E-2</v>
      </c>
      <c r="AQ18" s="331">
        <f t="shared" si="8"/>
        <v>3.5765774901922988E-2</v>
      </c>
      <c r="AR18" s="331"/>
      <c r="AS18" s="331">
        <f t="shared" si="9"/>
        <v>2.8090682196730922E-2</v>
      </c>
      <c r="AT18" s="331">
        <f t="shared" si="9"/>
        <v>2.472525349401599E-2</v>
      </c>
      <c r="AU18" s="331">
        <f t="shared" si="9"/>
        <v>2.5174502754163545E-2</v>
      </c>
      <c r="AV18" s="331">
        <f t="shared" si="9"/>
        <v>2.5827944691509681E-2</v>
      </c>
      <c r="AW18" s="331">
        <f t="shared" si="9"/>
        <v>2.6541839591328928E-2</v>
      </c>
      <c r="AX18" s="331">
        <f t="shared" si="9"/>
        <v>2.4786719909845586E-2</v>
      </c>
      <c r="AY18" s="331">
        <f t="shared" si="9"/>
        <v>2.839200695967509E-2</v>
      </c>
      <c r="AZ18" s="331">
        <f t="shared" si="9"/>
        <v>2.5754361551863565E-2</v>
      </c>
      <c r="BA18" s="331">
        <f t="shared" si="9"/>
        <v>2.7607393009211532E-2</v>
      </c>
      <c r="BB18" s="331">
        <f t="shared" si="9"/>
        <v>2.5234728062125674E-2</v>
      </c>
      <c r="BC18" s="331">
        <f t="shared" si="9"/>
        <v>2.7195316879024014E-2</v>
      </c>
      <c r="BD18" s="331">
        <f t="shared" si="9"/>
        <v>2.7999505316934046E-2</v>
      </c>
    </row>
    <row r="19" spans="1:56" ht="15">
      <c r="A19" s="90" t="str">
        <f>VLOOKUP(CONCATENATE($C19,"-",$B19),[1]ACHIEV!$B$19:$C$100,2,FALSE)</f>
        <v>Retro3Slow</v>
      </c>
      <c r="B19" s="90" t="str">
        <f>'SC Retro'!$C$7</f>
        <v>Retro</v>
      </c>
      <c r="C19" s="89" t="str">
        <f>'7PSourceSummary'!$B$3</f>
        <v>Advanced Rooftop Controller</v>
      </c>
      <c r="D19" s="90" t="s">
        <v>750</v>
      </c>
      <c r="E19" s="330" t="str">
        <f>'SC Retro'!$A$9</f>
        <v>HVAC</v>
      </c>
      <c r="F19" s="332">
        <f t="shared" si="1"/>
        <v>1.4254281537464511E-4</v>
      </c>
      <c r="G19" s="333">
        <f>INDEX('SC Retro'!$A$61:$D$78,MATCH($J19,'SC Retro'!$D$61:$D$78,0),1)</f>
        <v>0.75826144027384157</v>
      </c>
      <c r="H19" s="333">
        <f>INDEX('SC Retro'!$A$61:$D$78,MATCH($J19,'SC Retro'!$D$61:$D$78,0),2)</f>
        <v>16.015295457716352</v>
      </c>
      <c r="I19" s="71"/>
      <c r="J19" s="80" t="str">
        <f>'SC Retro'!D77</f>
        <v>Advanced Rooftop Controller-Retro-Assembly</v>
      </c>
      <c r="K19" s="93">
        <f t="shared" si="6"/>
        <v>0.15300118274816868</v>
      </c>
      <c r="L19" s="93">
        <f t="shared" si="6"/>
        <v>0.23942459814861411</v>
      </c>
      <c r="M19" s="93">
        <f t="shared" si="6"/>
        <v>0.47670075956984148</v>
      </c>
      <c r="N19" s="93">
        <f t="shared" si="6"/>
        <v>0.83048343378333389</v>
      </c>
      <c r="O19" s="93">
        <f t="shared" si="6"/>
        <v>1.2860669600236248</v>
      </c>
      <c r="P19" s="93">
        <f t="shared" si="6"/>
        <v>1.7924155287681787</v>
      </c>
      <c r="Q19" s="93">
        <f t="shared" si="6"/>
        <v>2.2710208916976504</v>
      </c>
      <c r="R19" s="93">
        <f t="shared" si="6"/>
        <v>2.6376368409574948</v>
      </c>
      <c r="S19" s="93">
        <f t="shared" si="6"/>
        <v>2.8277874624078128</v>
      </c>
      <c r="T19" s="93">
        <f t="shared" si="6"/>
        <v>2.8151001226598096</v>
      </c>
      <c r="U19" s="93">
        <f t="shared" si="7"/>
        <v>2.6156383929910696</v>
      </c>
      <c r="V19" s="93">
        <f t="shared" si="7"/>
        <v>2.2784150334760325</v>
      </c>
      <c r="W19" s="93">
        <f t="shared" si="7"/>
        <v>1.8679232720997081</v>
      </c>
      <c r="X19" s="93">
        <f t="shared" si="7"/>
        <v>1.4463108512369136</v>
      </c>
      <c r="Y19" s="93">
        <f t="shared" si="7"/>
        <v>1.0609212795639207</v>
      </c>
      <c r="Z19" s="93">
        <f t="shared" si="7"/>
        <v>0.73931289559605806</v>
      </c>
      <c r="AA19" s="93">
        <f t="shared" si="7"/>
        <v>0.49066389671410005</v>
      </c>
      <c r="AB19" s="93">
        <f t="shared" si="7"/>
        <v>0.31083974177720364</v>
      </c>
      <c r="AC19" s="93">
        <f t="shared" si="7"/>
        <v>0.1883578915029315</v>
      </c>
      <c r="AD19" s="93">
        <f t="shared" si="7"/>
        <v>0.10938246225066582</v>
      </c>
      <c r="AE19" s="93">
        <f t="shared" si="7"/>
        <v>25.392371061649399</v>
      </c>
      <c r="AF19" s="331">
        <f t="shared" si="8"/>
        <v>4.7546885231151338E-2</v>
      </c>
      <c r="AG19" s="331">
        <f t="shared" si="8"/>
        <v>4.2752362600262855E-2</v>
      </c>
      <c r="AH19" s="331">
        <f t="shared" si="8"/>
        <v>4.9196978770559938E-2</v>
      </c>
      <c r="AI19" s="331">
        <f t="shared" si="8"/>
        <v>4.5768980578563108E-2</v>
      </c>
      <c r="AJ19" s="331">
        <f t="shared" si="8"/>
        <v>4.6727418459752666E-2</v>
      </c>
      <c r="AK19" s="331">
        <f t="shared" si="8"/>
        <v>4.6253818996812607E-2</v>
      </c>
      <c r="AL19" s="331">
        <f t="shared" si="8"/>
        <v>4.394191760760853E-2</v>
      </c>
      <c r="AM19" s="331">
        <f t="shared" si="8"/>
        <v>4.5785809504422799E-2</v>
      </c>
      <c r="AN19" s="331">
        <f t="shared" si="8"/>
        <v>4.2778581563147414E-2</v>
      </c>
      <c r="AO19" s="331">
        <f t="shared" si="8"/>
        <v>4.8775711756625491E-2</v>
      </c>
      <c r="AP19" s="331">
        <f t="shared" si="8"/>
        <v>4.3163853013612204E-2</v>
      </c>
      <c r="AQ19" s="331">
        <f t="shared" si="8"/>
        <v>4.6994152254965851E-2</v>
      </c>
      <c r="AR19" s="331"/>
      <c r="AS19" s="331">
        <f t="shared" si="9"/>
        <v>2.0186490333326871E-2</v>
      </c>
      <c r="AT19" s="331">
        <f t="shared" si="9"/>
        <v>1.7343640010600143E-2</v>
      </c>
      <c r="AU19" s="331">
        <f t="shared" si="9"/>
        <v>1.6636202211496753E-2</v>
      </c>
      <c r="AV19" s="331">
        <f t="shared" si="9"/>
        <v>1.7370968667051453E-2</v>
      </c>
      <c r="AW19" s="331">
        <f t="shared" si="9"/>
        <v>1.7043249310935461E-2</v>
      </c>
      <c r="AX19" s="331">
        <f t="shared" si="9"/>
        <v>1.4954978639077939E-2</v>
      </c>
      <c r="AY19" s="331">
        <f t="shared" si="9"/>
        <v>1.755904593729327E-2</v>
      </c>
      <c r="AZ19" s="331">
        <f t="shared" si="9"/>
        <v>1.440019376479393E-2</v>
      </c>
      <c r="BA19" s="331">
        <f t="shared" si="9"/>
        <v>1.772820052840093E-2</v>
      </c>
      <c r="BB19" s="331">
        <f t="shared" si="9"/>
        <v>1.5922689544087192E-2</v>
      </c>
      <c r="BC19" s="331">
        <f t="shared" si="9"/>
        <v>1.9103955508337791E-2</v>
      </c>
      <c r="BD19" s="331">
        <f t="shared" si="9"/>
        <v>2.0325355480954915E-2</v>
      </c>
    </row>
    <row r="20" spans="1:56" ht="15">
      <c r="A20" s="334" t="str">
        <f>VLOOKUP(CONCATENATE($C20,"-",$B20),[1]ACHIEV!$B$19:$C$100,2,FALSE)</f>
        <v>Retro3Slow</v>
      </c>
      <c r="B20" s="90" t="str">
        <f>'SC Retro'!$C$7</f>
        <v>Retro</v>
      </c>
      <c r="C20" s="89" t="str">
        <f>'7PSourceSummary'!$B$3</f>
        <v>Advanced Rooftop Controller</v>
      </c>
      <c r="D20" s="334" t="s">
        <v>750</v>
      </c>
      <c r="E20" s="330" t="str">
        <f>'SC Retro'!$A$9</f>
        <v>HVAC</v>
      </c>
      <c r="F20" s="332">
        <f t="shared" si="1"/>
        <v>2.8533980492496855E-5</v>
      </c>
      <c r="G20" s="333">
        <f>INDEX('SC Retro'!$A$61:$D$78,MATCH($J20,'SC Retro'!$D$61:$D$78,0),1)</f>
        <v>0.15178749688730306</v>
      </c>
      <c r="H20" s="333">
        <f>INDEX('SC Retro'!$A$61:$D$78,MATCH($J20,'SC Retro'!$D$61:$D$78,0),2)</f>
        <v>38.787029661676023</v>
      </c>
      <c r="I20" s="71"/>
      <c r="J20" s="80" t="str">
        <f>'SC Retro'!D78</f>
        <v>Advanced Rooftop Controller-Retro-Other</v>
      </c>
      <c r="K20" s="93">
        <f t="shared" si="6"/>
        <v>2.7918204227823311E-2</v>
      </c>
      <c r="L20" s="93">
        <f t="shared" si="6"/>
        <v>4.3489862280472462E-2</v>
      </c>
      <c r="M20" s="93">
        <f t="shared" si="6"/>
        <v>8.6196907039896437E-2</v>
      </c>
      <c r="N20" s="93">
        <f t="shared" si="6"/>
        <v>0.14948698603394045</v>
      </c>
      <c r="O20" s="93">
        <f t="shared" si="6"/>
        <v>0.23044249380387657</v>
      </c>
      <c r="P20" s="93">
        <f t="shared" si="6"/>
        <v>0.31971591590349813</v>
      </c>
      <c r="Q20" s="93">
        <f t="shared" si="6"/>
        <v>0.40324896520410319</v>
      </c>
      <c r="R20" s="93">
        <f t="shared" si="6"/>
        <v>0.46622301193681076</v>
      </c>
      <c r="S20" s="93">
        <f t="shared" si="6"/>
        <v>0.49756754366240841</v>
      </c>
      <c r="T20" s="93">
        <f t="shared" si="6"/>
        <v>0.49308943576944658</v>
      </c>
      <c r="U20" s="93">
        <f t="shared" si="7"/>
        <v>0.45607485545768733</v>
      </c>
      <c r="V20" s="93">
        <f t="shared" si="7"/>
        <v>0.39547390903874657</v>
      </c>
      <c r="W20" s="93">
        <f t="shared" si="7"/>
        <v>0.32275323611785689</v>
      </c>
      <c r="X20" s="93">
        <f t="shared" si="7"/>
        <v>0.24877102210550847</v>
      </c>
      <c r="Y20" s="93">
        <f t="shared" si="7"/>
        <v>0.1816552189837807</v>
      </c>
      <c r="Z20" s="93">
        <f t="shared" si="7"/>
        <v>0.12601422540904819</v>
      </c>
      <c r="AA20" s="93">
        <f t="shared" si="7"/>
        <v>8.3253398253577832E-2</v>
      </c>
      <c r="AB20" s="93">
        <f t="shared" si="7"/>
        <v>5.2502620335006397E-2</v>
      </c>
      <c r="AC20" s="93">
        <f t="shared" si="7"/>
        <v>3.1670493675125699E-2</v>
      </c>
      <c r="AD20" s="93">
        <f t="shared" si="7"/>
        <v>1.830818455202805E-2</v>
      </c>
      <c r="AE20" s="93">
        <f t="shared" si="7"/>
        <v>4.2501165730288157</v>
      </c>
      <c r="AF20" s="331">
        <f t="shared" si="8"/>
        <v>9.5178553341944382E-3</v>
      </c>
      <c r="AG20" s="331">
        <f t="shared" si="8"/>
        <v>8.5580958762306158E-3</v>
      </c>
      <c r="AH20" s="331">
        <f t="shared" si="8"/>
        <v>9.8481682772952883E-3</v>
      </c>
      <c r="AI20" s="331">
        <f t="shared" si="8"/>
        <v>9.1619573779127654E-3</v>
      </c>
      <c r="AJ20" s="331">
        <f t="shared" si="8"/>
        <v>9.3538158572984437E-3</v>
      </c>
      <c r="AK20" s="331">
        <f t="shared" si="8"/>
        <v>9.2590115151695851E-3</v>
      </c>
      <c r="AL20" s="331">
        <f t="shared" si="8"/>
        <v>8.7962189923283425E-3</v>
      </c>
      <c r="AM20" s="331">
        <f t="shared" si="8"/>
        <v>9.1653261639222747E-3</v>
      </c>
      <c r="AN20" s="331">
        <f t="shared" si="8"/>
        <v>8.5633443440226633E-3</v>
      </c>
      <c r="AO20" s="331">
        <f t="shared" si="8"/>
        <v>9.7638397565898098E-3</v>
      </c>
      <c r="AP20" s="331">
        <f t="shared" si="8"/>
        <v>8.6404673335117119E-3</v>
      </c>
      <c r="AQ20" s="331">
        <f t="shared" si="8"/>
        <v>9.4072101787821237E-3</v>
      </c>
      <c r="AR20" s="331"/>
      <c r="AS20" s="331">
        <f t="shared" si="9"/>
        <v>4.0408976058822939E-3</v>
      </c>
      <c r="AT20" s="331">
        <f t="shared" si="9"/>
        <v>3.4718206205668926E-3</v>
      </c>
      <c r="AU20" s="331">
        <f t="shared" si="9"/>
        <v>3.3302069144939758E-3</v>
      </c>
      <c r="AV20" s="331">
        <f t="shared" si="9"/>
        <v>3.4772912249464842E-3</v>
      </c>
      <c r="AW20" s="331">
        <f t="shared" si="9"/>
        <v>3.4116889166866836E-3</v>
      </c>
      <c r="AX20" s="331">
        <f t="shared" si="9"/>
        <v>2.9936624138620811E-3</v>
      </c>
      <c r="AY20" s="331">
        <f t="shared" si="9"/>
        <v>3.5149402158553352E-3</v>
      </c>
      <c r="AZ20" s="331">
        <f t="shared" si="9"/>
        <v>2.882606512947358E-3</v>
      </c>
      <c r="BA20" s="331">
        <f t="shared" si="9"/>
        <v>3.5488012967537048E-3</v>
      </c>
      <c r="BB20" s="331">
        <f t="shared" si="9"/>
        <v>3.1873771515241386E-3</v>
      </c>
      <c r="BC20" s="331">
        <f t="shared" si="9"/>
        <v>3.824197609481203E-3</v>
      </c>
      <c r="BD20" s="331">
        <f t="shared" si="9"/>
        <v>4.0686953970448438E-3</v>
      </c>
    </row>
    <row r="21" spans="1:56" ht="15">
      <c r="A21" s="335"/>
      <c r="B21" s="335"/>
      <c r="C21" s="335"/>
      <c r="D21" s="335"/>
      <c r="E21" s="336"/>
      <c r="F21" s="337"/>
      <c r="G21" s="338"/>
      <c r="H21" s="338"/>
      <c r="I21" s="283"/>
      <c r="J21" s="283"/>
      <c r="K21" s="339"/>
      <c r="L21" s="339"/>
      <c r="M21" s="339"/>
      <c r="N21" s="339"/>
      <c r="O21" s="339"/>
      <c r="P21" s="339"/>
      <c r="Q21" s="339"/>
      <c r="R21" s="339"/>
      <c r="S21" s="339"/>
      <c r="T21" s="339"/>
      <c r="U21" s="339"/>
      <c r="V21" s="339"/>
      <c r="W21" s="339"/>
      <c r="X21" s="339"/>
      <c r="Y21" s="339"/>
      <c r="Z21" s="339"/>
      <c r="AA21" s="339"/>
      <c r="AB21" s="339"/>
      <c r="AC21" s="339"/>
      <c r="AD21" s="339"/>
      <c r="AE21" s="339"/>
      <c r="AF21" s="340"/>
      <c r="AG21" s="340"/>
      <c r="AH21" s="340"/>
      <c r="AI21" s="340"/>
      <c r="AJ21" s="340"/>
      <c r="AK21" s="340"/>
      <c r="AL21" s="340"/>
      <c r="AM21" s="340"/>
      <c r="AN21" s="340"/>
      <c r="AO21" s="340"/>
      <c r="AP21" s="340"/>
      <c r="AQ21" s="340"/>
      <c r="AR21" s="340"/>
      <c r="AS21" s="340"/>
      <c r="AT21" s="340"/>
      <c r="AU21" s="340"/>
      <c r="AV21" s="340"/>
      <c r="AW21" s="340"/>
      <c r="AX21" s="340"/>
      <c r="AY21" s="340"/>
      <c r="AZ21" s="340"/>
      <c r="BA21" s="340"/>
      <c r="BB21" s="340"/>
      <c r="BC21" s="340"/>
      <c r="BD21" s="340"/>
    </row>
    <row r="22" spans="1:56" ht="15">
      <c r="A22" s="335"/>
      <c r="B22" s="335"/>
      <c r="C22" s="335"/>
      <c r="D22" s="335"/>
      <c r="E22" s="336"/>
      <c r="F22" s="337"/>
      <c r="G22" s="338"/>
      <c r="H22" s="338"/>
      <c r="I22" s="283"/>
      <c r="J22" s="283"/>
      <c r="K22" s="339"/>
      <c r="L22" s="339"/>
      <c r="M22" s="339"/>
      <c r="N22" s="339"/>
      <c r="O22" s="339"/>
      <c r="P22" s="339"/>
      <c r="Q22" s="339"/>
      <c r="R22" s="339"/>
      <c r="S22" s="339"/>
      <c r="T22" s="339"/>
      <c r="U22" s="339"/>
      <c r="V22" s="339"/>
      <c r="W22" s="339"/>
      <c r="X22" s="339"/>
      <c r="Y22" s="339"/>
      <c r="Z22" s="339"/>
      <c r="AA22" s="339"/>
      <c r="AB22" s="339"/>
      <c r="AC22" s="339"/>
      <c r="AD22" s="339"/>
      <c r="AE22" s="339"/>
      <c r="AF22" s="340"/>
      <c r="AG22" s="340"/>
      <c r="AH22" s="340"/>
      <c r="AI22" s="340"/>
      <c r="AJ22" s="340"/>
      <c r="AK22" s="340"/>
      <c r="AL22" s="340"/>
      <c r="AM22" s="340"/>
      <c r="AN22" s="340"/>
      <c r="AO22" s="340"/>
      <c r="AP22" s="340"/>
      <c r="AQ22" s="340"/>
      <c r="AR22" s="340"/>
      <c r="AS22" s="340"/>
      <c r="AT22" s="340"/>
      <c r="AU22" s="340"/>
      <c r="AV22" s="340"/>
      <c r="AW22" s="340"/>
      <c r="AX22" s="340"/>
      <c r="AY22" s="340"/>
      <c r="AZ22" s="340"/>
      <c r="BA22" s="340"/>
      <c r="BB22" s="340"/>
      <c r="BC22" s="340"/>
      <c r="BD22" s="340"/>
    </row>
    <row r="23" spans="1:56" ht="15">
      <c r="A23" s="335"/>
      <c r="B23" s="335"/>
      <c r="C23" s="335"/>
      <c r="D23" s="335"/>
      <c r="E23" s="336"/>
      <c r="F23" s="337"/>
      <c r="G23" s="338"/>
      <c r="H23" s="338"/>
      <c r="I23" s="283"/>
      <c r="J23" s="283"/>
      <c r="K23" s="339"/>
      <c r="L23" s="339"/>
      <c r="M23" s="339"/>
      <c r="N23" s="339"/>
      <c r="O23" s="339"/>
      <c r="P23" s="339"/>
      <c r="Q23" s="339"/>
      <c r="R23" s="339"/>
      <c r="S23" s="339"/>
      <c r="T23" s="339"/>
      <c r="U23" s="339"/>
      <c r="V23" s="339"/>
      <c r="W23" s="339"/>
      <c r="X23" s="339"/>
      <c r="Y23" s="339"/>
      <c r="Z23" s="339"/>
      <c r="AA23" s="339"/>
      <c r="AB23" s="339"/>
      <c r="AC23" s="339"/>
      <c r="AD23" s="339"/>
      <c r="AE23" s="339"/>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row>
    <row r="24" spans="1:56" ht="15">
      <c r="A24" s="335"/>
      <c r="B24" s="335"/>
      <c r="C24" s="335"/>
      <c r="D24" s="335"/>
      <c r="E24" s="336"/>
      <c r="F24" s="337"/>
      <c r="G24" s="338"/>
      <c r="H24" s="338"/>
      <c r="I24" s="283"/>
      <c r="J24" s="283"/>
      <c r="K24" s="339"/>
      <c r="L24" s="339"/>
      <c r="M24" s="339"/>
      <c r="N24" s="339"/>
      <c r="O24" s="339"/>
      <c r="P24" s="339"/>
      <c r="Q24" s="339"/>
      <c r="R24" s="339"/>
      <c r="S24" s="339"/>
      <c r="T24" s="339"/>
      <c r="U24" s="339"/>
      <c r="V24" s="339"/>
      <c r="W24" s="339"/>
      <c r="X24" s="339"/>
      <c r="Y24" s="339"/>
      <c r="Z24" s="339"/>
      <c r="AA24" s="339"/>
      <c r="AB24" s="339"/>
      <c r="AC24" s="339"/>
      <c r="AD24" s="339"/>
      <c r="AE24" s="339"/>
      <c r="AF24" s="340"/>
      <c r="AG24" s="340"/>
      <c r="AH24" s="340"/>
      <c r="AI24" s="340"/>
      <c r="AJ24" s="340"/>
      <c r="AK24" s="340"/>
      <c r="AL24" s="340"/>
      <c r="AM24" s="340"/>
      <c r="AN24" s="340"/>
      <c r="AO24" s="340"/>
      <c r="AP24" s="340"/>
      <c r="AQ24" s="340"/>
      <c r="AR24" s="340"/>
      <c r="AS24" s="340"/>
      <c r="AT24" s="340"/>
      <c r="AU24" s="340"/>
      <c r="AV24" s="340"/>
      <c r="AW24" s="340"/>
      <c r="AX24" s="340"/>
      <c r="AY24" s="340"/>
      <c r="AZ24" s="340"/>
      <c r="BA24" s="340"/>
      <c r="BB24" s="340"/>
      <c r="BC24" s="340"/>
      <c r="BD24" s="340"/>
    </row>
    <row r="25" spans="1:56" ht="15">
      <c r="A25" s="335"/>
      <c r="B25" s="335"/>
      <c r="C25" s="335"/>
      <c r="D25" s="335"/>
      <c r="E25" s="336"/>
      <c r="F25" s="337"/>
      <c r="G25" s="338"/>
      <c r="H25" s="338"/>
      <c r="I25" s="283"/>
      <c r="J25" s="283"/>
      <c r="K25" s="339"/>
      <c r="L25" s="339"/>
      <c r="M25" s="339"/>
      <c r="N25" s="339"/>
      <c r="O25" s="339"/>
      <c r="P25" s="339"/>
      <c r="Q25" s="339"/>
      <c r="R25" s="339"/>
      <c r="S25" s="339"/>
      <c r="T25" s="339"/>
      <c r="U25" s="339"/>
      <c r="V25" s="339"/>
      <c r="W25" s="339"/>
      <c r="X25" s="339"/>
      <c r="Y25" s="339"/>
      <c r="Z25" s="339"/>
      <c r="AA25" s="339"/>
      <c r="AB25" s="339"/>
      <c r="AC25" s="339"/>
      <c r="AD25" s="339"/>
      <c r="AE25" s="339"/>
      <c r="AF25" s="340"/>
      <c r="AG25" s="340"/>
      <c r="AH25" s="340"/>
      <c r="AI25" s="340"/>
      <c r="AJ25" s="340"/>
      <c r="AK25" s="340"/>
      <c r="AL25" s="340"/>
      <c r="AM25" s="340"/>
      <c r="AN25" s="340"/>
      <c r="AO25" s="340"/>
      <c r="AP25" s="340"/>
      <c r="AQ25" s="340"/>
      <c r="AR25" s="340"/>
      <c r="AS25" s="340"/>
      <c r="AT25" s="340"/>
      <c r="AU25" s="340"/>
      <c r="AV25" s="340"/>
      <c r="AW25" s="340"/>
      <c r="AX25" s="340"/>
      <c r="AY25" s="340"/>
      <c r="AZ25" s="340"/>
      <c r="BA25" s="340"/>
      <c r="BB25" s="340"/>
      <c r="BC25" s="340"/>
      <c r="BD25" s="340"/>
    </row>
    <row r="26" spans="1:56" ht="15">
      <c r="A26" s="335"/>
      <c r="B26" s="335"/>
      <c r="C26" s="335"/>
      <c r="D26" s="335"/>
      <c r="E26" s="336"/>
      <c r="F26" s="337"/>
      <c r="G26" s="338"/>
      <c r="H26" s="338"/>
      <c r="I26" s="283"/>
      <c r="J26" s="283"/>
      <c r="K26" s="339"/>
      <c r="L26" s="339"/>
      <c r="M26" s="339"/>
      <c r="N26" s="339"/>
      <c r="O26" s="339"/>
      <c r="P26" s="339"/>
      <c r="Q26" s="339"/>
      <c r="R26" s="339"/>
      <c r="S26" s="339"/>
      <c r="T26" s="339"/>
      <c r="U26" s="339"/>
      <c r="V26" s="339"/>
      <c r="W26" s="339"/>
      <c r="X26" s="339"/>
      <c r="Y26" s="339"/>
      <c r="Z26" s="339"/>
      <c r="AA26" s="339"/>
      <c r="AB26" s="339"/>
      <c r="AC26" s="339"/>
      <c r="AD26" s="339"/>
      <c r="AE26" s="339"/>
      <c r="AF26" s="340"/>
      <c r="AG26" s="340"/>
      <c r="AH26" s="340"/>
      <c r="AI26" s="340"/>
      <c r="AJ26" s="340"/>
      <c r="AK26" s="340"/>
      <c r="AL26" s="340"/>
      <c r="AM26" s="340"/>
      <c r="AN26" s="340"/>
      <c r="AO26" s="340"/>
      <c r="AP26" s="340"/>
      <c r="AQ26" s="340"/>
      <c r="AR26" s="340"/>
      <c r="AS26" s="340"/>
      <c r="AT26" s="340"/>
      <c r="AU26" s="340"/>
      <c r="AV26" s="340"/>
      <c r="AW26" s="340"/>
      <c r="AX26" s="340"/>
      <c r="AY26" s="340"/>
      <c r="AZ26" s="340"/>
      <c r="BA26" s="340"/>
      <c r="BB26" s="340"/>
      <c r="BC26" s="340"/>
      <c r="BD26" s="340"/>
    </row>
    <row r="27" spans="1:56" ht="15">
      <c r="A27" s="335"/>
      <c r="B27" s="335"/>
      <c r="C27" s="335"/>
      <c r="D27" s="335"/>
      <c r="E27" s="336"/>
      <c r="F27" s="337"/>
      <c r="G27" s="338"/>
      <c r="H27" s="338"/>
      <c r="I27" s="283"/>
      <c r="J27" s="283"/>
      <c r="K27" s="339"/>
      <c r="L27" s="339"/>
      <c r="M27" s="339"/>
      <c r="N27" s="339"/>
      <c r="O27" s="339"/>
      <c r="P27" s="339"/>
      <c r="Q27" s="339"/>
      <c r="R27" s="339"/>
      <c r="S27" s="339"/>
      <c r="T27" s="339"/>
      <c r="U27" s="339"/>
      <c r="V27" s="339"/>
      <c r="W27" s="339"/>
      <c r="X27" s="339"/>
      <c r="Y27" s="339"/>
      <c r="Z27" s="339"/>
      <c r="AA27" s="339"/>
      <c r="AB27" s="339"/>
      <c r="AC27" s="339"/>
      <c r="AD27" s="339"/>
      <c r="AE27" s="339"/>
      <c r="AF27" s="340"/>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340"/>
      <c r="BC27" s="340"/>
      <c r="BD27" s="340"/>
    </row>
    <row r="28" spans="1:56" ht="15">
      <c r="A28" s="335"/>
      <c r="B28" s="335"/>
      <c r="C28" s="335"/>
      <c r="D28" s="335"/>
      <c r="E28" s="336"/>
      <c r="F28" s="337"/>
      <c r="G28" s="338"/>
      <c r="H28" s="338"/>
      <c r="I28" s="283"/>
      <c r="J28" s="283"/>
      <c r="K28" s="339"/>
      <c r="L28" s="339"/>
      <c r="M28" s="339"/>
      <c r="N28" s="339"/>
      <c r="O28" s="339"/>
      <c r="P28" s="339"/>
      <c r="Q28" s="339"/>
      <c r="R28" s="339"/>
      <c r="S28" s="339"/>
      <c r="T28" s="339"/>
      <c r="U28" s="339"/>
      <c r="V28" s="339"/>
      <c r="W28" s="339"/>
      <c r="X28" s="339"/>
      <c r="Y28" s="339"/>
      <c r="Z28" s="339"/>
      <c r="AA28" s="339"/>
      <c r="AB28" s="339"/>
      <c r="AC28" s="339"/>
      <c r="AD28" s="339"/>
      <c r="AE28" s="339"/>
      <c r="AF28" s="340"/>
      <c r="AG28" s="340"/>
      <c r="AH28" s="340"/>
      <c r="AI28" s="340"/>
      <c r="AJ28" s="340"/>
      <c r="AK28" s="340"/>
      <c r="AL28" s="340"/>
      <c r="AM28" s="340"/>
      <c r="AN28" s="340"/>
      <c r="AO28" s="340"/>
      <c r="AP28" s="340"/>
      <c r="AQ28" s="340"/>
      <c r="AR28" s="340"/>
      <c r="AS28" s="340"/>
      <c r="AT28" s="340"/>
      <c r="AU28" s="340"/>
      <c r="AV28" s="340"/>
      <c r="AW28" s="340"/>
      <c r="AX28" s="340"/>
      <c r="AY28" s="340"/>
      <c r="AZ28" s="340"/>
      <c r="BA28" s="340"/>
      <c r="BB28" s="340"/>
      <c r="BC28" s="340"/>
      <c r="BD28" s="340"/>
    </row>
    <row r="29" spans="1:56" ht="15">
      <c r="A29" s="335"/>
      <c r="B29" s="335"/>
      <c r="C29" s="335"/>
      <c r="D29" s="335"/>
      <c r="E29" s="336"/>
      <c r="F29" s="337"/>
      <c r="G29" s="338"/>
      <c r="H29" s="338"/>
      <c r="I29" s="283"/>
      <c r="J29" s="283"/>
      <c r="K29" s="339"/>
      <c r="L29" s="339"/>
      <c r="M29" s="339"/>
      <c r="N29" s="339"/>
      <c r="O29" s="339"/>
      <c r="P29" s="339"/>
      <c r="Q29" s="339"/>
      <c r="R29" s="339"/>
      <c r="S29" s="339"/>
      <c r="T29" s="339"/>
      <c r="U29" s="339"/>
      <c r="V29" s="339"/>
      <c r="W29" s="339"/>
      <c r="X29" s="339"/>
      <c r="Y29" s="339"/>
      <c r="Z29" s="339"/>
      <c r="AA29" s="339"/>
      <c r="AB29" s="339"/>
      <c r="AC29" s="339"/>
      <c r="AD29" s="339"/>
      <c r="AE29" s="339"/>
      <c r="AF29" s="340"/>
      <c r="AG29" s="340"/>
      <c r="AH29" s="340"/>
      <c r="AI29" s="340"/>
      <c r="AJ29" s="340"/>
      <c r="AK29" s="340"/>
      <c r="AL29" s="340"/>
      <c r="AM29" s="340"/>
      <c r="AN29" s="340"/>
      <c r="AO29" s="340"/>
      <c r="AP29" s="340"/>
      <c r="AQ29" s="340"/>
      <c r="AR29" s="340"/>
      <c r="AS29" s="340"/>
      <c r="AT29" s="340"/>
      <c r="AU29" s="340"/>
      <c r="AV29" s="340"/>
      <c r="AW29" s="340"/>
      <c r="AX29" s="340"/>
      <c r="AY29" s="340"/>
      <c r="AZ29" s="340"/>
      <c r="BA29" s="340"/>
      <c r="BB29" s="340"/>
      <c r="BC29" s="340"/>
      <c r="BD29" s="340"/>
    </row>
    <row r="30" spans="1:56" ht="15">
      <c r="A30" s="335"/>
      <c r="B30" s="335"/>
      <c r="C30" s="335"/>
      <c r="D30" s="335"/>
      <c r="E30" s="336"/>
      <c r="F30" s="337"/>
      <c r="G30" s="338"/>
      <c r="H30" s="338"/>
      <c r="I30" s="283"/>
      <c r="J30" s="283"/>
      <c r="K30" s="339"/>
      <c r="L30" s="339"/>
      <c r="M30" s="339"/>
      <c r="N30" s="339"/>
      <c r="O30" s="339"/>
      <c r="P30" s="339"/>
      <c r="Q30" s="339"/>
      <c r="R30" s="339"/>
      <c r="S30" s="339"/>
      <c r="T30" s="339"/>
      <c r="U30" s="339"/>
      <c r="V30" s="339"/>
      <c r="W30" s="339"/>
      <c r="X30" s="339"/>
      <c r="Y30" s="339"/>
      <c r="Z30" s="339"/>
      <c r="AA30" s="339"/>
      <c r="AB30" s="339"/>
      <c r="AC30" s="339"/>
      <c r="AD30" s="339"/>
      <c r="AE30" s="339"/>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row>
    <row r="31" spans="1:56" ht="15">
      <c r="A31" s="335"/>
      <c r="B31" s="335"/>
      <c r="C31" s="335"/>
      <c r="D31" s="335"/>
      <c r="E31" s="336"/>
      <c r="F31" s="337"/>
      <c r="G31" s="338"/>
      <c r="H31" s="338"/>
      <c r="I31" s="283"/>
      <c r="J31" s="283"/>
      <c r="K31" s="339"/>
      <c r="L31" s="339"/>
      <c r="M31" s="339"/>
      <c r="N31" s="339"/>
      <c r="O31" s="339"/>
      <c r="P31" s="339"/>
      <c r="Q31" s="339"/>
      <c r="R31" s="339"/>
      <c r="S31" s="339"/>
      <c r="T31" s="339"/>
      <c r="U31" s="339"/>
      <c r="V31" s="339"/>
      <c r="W31" s="339"/>
      <c r="X31" s="339"/>
      <c r="Y31" s="339"/>
      <c r="Z31" s="339"/>
      <c r="AA31" s="339"/>
      <c r="AB31" s="339"/>
      <c r="AC31" s="339"/>
      <c r="AD31" s="339"/>
      <c r="AE31" s="339"/>
      <c r="AF31" s="340"/>
      <c r="AG31" s="340"/>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row>
    <row r="32" spans="1:56" ht="15">
      <c r="A32" s="335"/>
      <c r="B32" s="335"/>
      <c r="C32" s="335"/>
      <c r="D32" s="335"/>
      <c r="E32" s="336"/>
      <c r="F32" s="337"/>
      <c r="G32" s="338"/>
      <c r="H32" s="338"/>
      <c r="I32" s="283"/>
      <c r="J32" s="283"/>
      <c r="K32" s="339"/>
      <c r="L32" s="339"/>
      <c r="M32" s="339"/>
      <c r="N32" s="339"/>
      <c r="O32" s="339"/>
      <c r="P32" s="339"/>
      <c r="Q32" s="339"/>
      <c r="R32" s="339"/>
      <c r="S32" s="339"/>
      <c r="T32" s="339"/>
      <c r="U32" s="339"/>
      <c r="V32" s="339"/>
      <c r="W32" s="339"/>
      <c r="X32" s="339"/>
      <c r="Y32" s="339"/>
      <c r="Z32" s="339"/>
      <c r="AA32" s="339"/>
      <c r="AB32" s="339"/>
      <c r="AC32" s="339"/>
      <c r="AD32" s="339"/>
      <c r="AE32" s="339"/>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row>
    <row r="33" spans="1:56" ht="15">
      <c r="A33" s="335"/>
      <c r="B33" s="335"/>
      <c r="C33" s="335"/>
      <c r="D33" s="335"/>
      <c r="E33" s="336"/>
      <c r="F33" s="337"/>
      <c r="G33" s="338"/>
      <c r="H33" s="338"/>
      <c r="I33" s="283"/>
      <c r="J33" s="283"/>
      <c r="K33" s="339"/>
      <c r="L33" s="339"/>
      <c r="M33" s="339"/>
      <c r="N33" s="339"/>
      <c r="O33" s="339"/>
      <c r="P33" s="339"/>
      <c r="Q33" s="339"/>
      <c r="R33" s="339"/>
      <c r="S33" s="339"/>
      <c r="T33" s="339"/>
      <c r="U33" s="339"/>
      <c r="V33" s="339"/>
      <c r="W33" s="339"/>
      <c r="X33" s="339"/>
      <c r="Y33" s="339"/>
      <c r="Z33" s="339"/>
      <c r="AA33" s="339"/>
      <c r="AB33" s="339"/>
      <c r="AC33" s="339"/>
      <c r="AD33" s="339"/>
      <c r="AE33" s="339"/>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row>
    <row r="34" spans="1:56" ht="15">
      <c r="A34" s="335"/>
      <c r="B34" s="335"/>
      <c r="C34" s="335"/>
      <c r="D34" s="335"/>
      <c r="E34" s="336"/>
      <c r="F34" s="337"/>
      <c r="G34" s="338"/>
      <c r="H34" s="338"/>
      <c r="I34" s="283"/>
      <c r="J34" s="283"/>
      <c r="K34" s="339"/>
      <c r="L34" s="339"/>
      <c r="M34" s="339"/>
      <c r="N34" s="339"/>
      <c r="O34" s="339"/>
      <c r="P34" s="339"/>
      <c r="Q34" s="339"/>
      <c r="R34" s="339"/>
      <c r="S34" s="339"/>
      <c r="T34" s="339"/>
      <c r="U34" s="339"/>
      <c r="V34" s="339"/>
      <c r="W34" s="339"/>
      <c r="X34" s="339"/>
      <c r="Y34" s="339"/>
      <c r="Z34" s="339"/>
      <c r="AA34" s="339"/>
      <c r="AB34" s="339"/>
      <c r="AC34" s="339"/>
      <c r="AD34" s="339"/>
      <c r="AE34" s="339"/>
      <c r="AF34" s="340"/>
      <c r="AG34" s="340"/>
      <c r="AH34" s="340"/>
      <c r="AI34" s="340"/>
      <c r="AJ34" s="340"/>
      <c r="AK34" s="340"/>
      <c r="AL34" s="340"/>
      <c r="AM34" s="340"/>
      <c r="AN34" s="340"/>
      <c r="AO34" s="340"/>
      <c r="AP34" s="340"/>
      <c r="AQ34" s="340"/>
      <c r="AR34" s="340"/>
      <c r="AS34" s="340"/>
      <c r="AT34" s="340"/>
      <c r="AU34" s="340"/>
      <c r="AV34" s="340"/>
      <c r="AW34" s="340"/>
      <c r="AX34" s="340"/>
      <c r="AY34" s="340"/>
      <c r="AZ34" s="340"/>
      <c r="BA34" s="340"/>
      <c r="BB34" s="340"/>
      <c r="BC34" s="340"/>
      <c r="BD34" s="340"/>
    </row>
    <row r="35" spans="1:56" ht="15">
      <c r="A35" s="335"/>
      <c r="B35" s="335"/>
      <c r="C35" s="335"/>
      <c r="D35" s="335"/>
      <c r="E35" s="336"/>
      <c r="F35" s="337"/>
      <c r="G35" s="338"/>
      <c r="H35" s="338"/>
      <c r="I35" s="283"/>
      <c r="J35" s="283"/>
      <c r="K35" s="339"/>
      <c r="L35" s="339"/>
      <c r="M35" s="339"/>
      <c r="N35" s="339"/>
      <c r="O35" s="339"/>
      <c r="P35" s="339"/>
      <c r="Q35" s="339"/>
      <c r="R35" s="339"/>
      <c r="S35" s="339"/>
      <c r="T35" s="339"/>
      <c r="U35" s="339"/>
      <c r="V35" s="339"/>
      <c r="W35" s="339"/>
      <c r="X35" s="339"/>
      <c r="Y35" s="339"/>
      <c r="Z35" s="339"/>
      <c r="AA35" s="339"/>
      <c r="AB35" s="339"/>
      <c r="AC35" s="339"/>
      <c r="AD35" s="339"/>
      <c r="AE35" s="339"/>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0"/>
      <c r="BD35" s="340"/>
    </row>
    <row r="36" spans="1:56" ht="15">
      <c r="A36" s="335"/>
      <c r="B36" s="335"/>
      <c r="C36" s="335"/>
      <c r="D36" s="335"/>
      <c r="E36" s="336"/>
      <c r="F36" s="337"/>
      <c r="G36" s="338"/>
      <c r="H36" s="338"/>
      <c r="I36" s="283"/>
      <c r="J36" s="283"/>
      <c r="K36" s="339"/>
      <c r="L36" s="339"/>
      <c r="M36" s="339"/>
      <c r="N36" s="339"/>
      <c r="O36" s="339"/>
      <c r="P36" s="339"/>
      <c r="Q36" s="339"/>
      <c r="R36" s="339"/>
      <c r="S36" s="339"/>
      <c r="T36" s="339"/>
      <c r="U36" s="339"/>
      <c r="V36" s="339"/>
      <c r="W36" s="339"/>
      <c r="X36" s="339"/>
      <c r="Y36" s="339"/>
      <c r="Z36" s="339"/>
      <c r="AA36" s="339"/>
      <c r="AB36" s="339"/>
      <c r="AC36" s="339"/>
      <c r="AD36" s="339"/>
      <c r="AE36" s="339"/>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row>
    <row r="37" spans="1:56" ht="15">
      <c r="A37" s="335"/>
      <c r="B37" s="335"/>
      <c r="C37" s="335"/>
      <c r="D37" s="335"/>
      <c r="E37" s="336"/>
      <c r="F37" s="337"/>
      <c r="G37" s="338"/>
      <c r="H37" s="338"/>
      <c r="I37" s="283"/>
      <c r="J37" s="283"/>
      <c r="K37" s="339"/>
      <c r="L37" s="339"/>
      <c r="M37" s="339"/>
      <c r="N37" s="339"/>
      <c r="O37" s="339"/>
      <c r="P37" s="339"/>
      <c r="Q37" s="339"/>
      <c r="R37" s="339"/>
      <c r="S37" s="339"/>
      <c r="T37" s="339"/>
      <c r="U37" s="339"/>
      <c r="V37" s="339"/>
      <c r="W37" s="339"/>
      <c r="X37" s="339"/>
      <c r="Y37" s="339"/>
      <c r="Z37" s="339"/>
      <c r="AA37" s="339"/>
      <c r="AB37" s="339"/>
      <c r="AC37" s="339"/>
      <c r="AD37" s="339"/>
      <c r="AE37" s="339"/>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row>
    <row r="38" spans="1:56" ht="15">
      <c r="A38" s="335"/>
      <c r="B38" s="335"/>
      <c r="C38" s="335"/>
      <c r="D38" s="335"/>
      <c r="E38" s="336"/>
      <c r="F38" s="337"/>
      <c r="G38" s="338"/>
      <c r="H38" s="338"/>
      <c r="I38" s="283"/>
      <c r="J38" s="283"/>
      <c r="K38" s="339"/>
      <c r="L38" s="339"/>
      <c r="M38" s="339"/>
      <c r="N38" s="339"/>
      <c r="O38" s="339"/>
      <c r="P38" s="339"/>
      <c r="Q38" s="339"/>
      <c r="R38" s="339"/>
      <c r="S38" s="339"/>
      <c r="T38" s="339"/>
      <c r="U38" s="339"/>
      <c r="V38" s="339"/>
      <c r="W38" s="339"/>
      <c r="X38" s="339"/>
      <c r="Y38" s="339"/>
      <c r="Z38" s="339"/>
      <c r="AA38" s="339"/>
      <c r="AB38" s="339"/>
      <c r="AC38" s="339"/>
      <c r="AD38" s="339"/>
      <c r="AE38" s="339"/>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row>
    <row r="39" spans="1:56" ht="15">
      <c r="A39" s="335"/>
      <c r="B39" s="335"/>
      <c r="C39" s="335"/>
      <c r="D39" s="335"/>
      <c r="E39" s="336"/>
      <c r="F39" s="337"/>
      <c r="G39" s="338"/>
      <c r="H39" s="338"/>
      <c r="I39" s="283"/>
      <c r="J39" s="283"/>
      <c r="K39" s="339"/>
      <c r="L39" s="339"/>
      <c r="M39" s="339"/>
      <c r="N39" s="339"/>
      <c r="O39" s="339"/>
      <c r="P39" s="339"/>
      <c r="Q39" s="339"/>
      <c r="R39" s="339"/>
      <c r="S39" s="339"/>
      <c r="T39" s="339"/>
      <c r="U39" s="339"/>
      <c r="V39" s="339"/>
      <c r="W39" s="339"/>
      <c r="X39" s="339"/>
      <c r="Y39" s="339"/>
      <c r="Z39" s="339"/>
      <c r="AA39" s="339"/>
      <c r="AB39" s="339"/>
      <c r="AC39" s="339"/>
      <c r="AD39" s="339"/>
      <c r="AE39" s="339"/>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row>
    <row r="40" spans="1:56" ht="15">
      <c r="A40" s="335"/>
      <c r="B40" s="335"/>
      <c r="C40" s="335"/>
      <c r="D40" s="335"/>
      <c r="E40" s="336"/>
      <c r="F40" s="337"/>
      <c r="G40" s="338"/>
      <c r="H40" s="338"/>
      <c r="I40" s="283"/>
      <c r="J40" s="283"/>
      <c r="K40" s="339"/>
      <c r="L40" s="339"/>
      <c r="M40" s="339"/>
      <c r="N40" s="339"/>
      <c r="O40" s="339"/>
      <c r="P40" s="339"/>
      <c r="Q40" s="339"/>
      <c r="R40" s="339"/>
      <c r="S40" s="339"/>
      <c r="T40" s="339"/>
      <c r="U40" s="339"/>
      <c r="V40" s="339"/>
      <c r="W40" s="339"/>
      <c r="X40" s="339"/>
      <c r="Y40" s="339"/>
      <c r="Z40" s="339"/>
      <c r="AA40" s="339"/>
      <c r="AB40" s="339"/>
      <c r="AC40" s="339"/>
      <c r="AD40" s="339"/>
      <c r="AE40" s="339"/>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row>
    <row r="41" spans="1:56" ht="15">
      <c r="A41" s="335"/>
      <c r="B41" s="335"/>
      <c r="C41" s="335"/>
      <c r="D41" s="335"/>
      <c r="E41" s="336"/>
      <c r="F41" s="337"/>
      <c r="G41" s="338"/>
      <c r="H41" s="338"/>
      <c r="I41" s="283"/>
      <c r="J41" s="283"/>
      <c r="K41" s="339"/>
      <c r="L41" s="339"/>
      <c r="M41" s="339"/>
      <c r="N41" s="339"/>
      <c r="O41" s="339"/>
      <c r="P41" s="339"/>
      <c r="Q41" s="339"/>
      <c r="R41" s="339"/>
      <c r="S41" s="339"/>
      <c r="T41" s="339"/>
      <c r="U41" s="339"/>
      <c r="V41" s="339"/>
      <c r="W41" s="339"/>
      <c r="X41" s="339"/>
      <c r="Y41" s="339"/>
      <c r="Z41" s="339"/>
      <c r="AA41" s="339"/>
      <c r="AB41" s="339"/>
      <c r="AC41" s="339"/>
      <c r="AD41" s="339"/>
      <c r="AE41" s="339"/>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row>
    <row r="42" spans="1:56" ht="15">
      <c r="A42" s="335"/>
      <c r="B42" s="335"/>
      <c r="C42" s="335"/>
      <c r="D42" s="335"/>
      <c r="E42" s="336"/>
      <c r="F42" s="337"/>
      <c r="G42" s="338"/>
      <c r="H42" s="338"/>
      <c r="I42" s="283"/>
      <c r="J42" s="283"/>
      <c r="K42" s="339"/>
      <c r="L42" s="339"/>
      <c r="M42" s="339"/>
      <c r="N42" s="339"/>
      <c r="O42" s="339"/>
      <c r="P42" s="339"/>
      <c r="Q42" s="339"/>
      <c r="R42" s="339"/>
      <c r="S42" s="339"/>
      <c r="T42" s="339"/>
      <c r="U42" s="339"/>
      <c r="V42" s="339"/>
      <c r="W42" s="339"/>
      <c r="X42" s="339"/>
      <c r="Y42" s="339"/>
      <c r="Z42" s="339"/>
      <c r="AA42" s="339"/>
      <c r="AB42" s="339"/>
      <c r="AC42" s="339"/>
      <c r="AD42" s="339"/>
      <c r="AE42" s="339"/>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row>
    <row r="43" spans="1:56" ht="15">
      <c r="A43" s="335"/>
      <c r="B43" s="335"/>
      <c r="C43" s="335"/>
      <c r="D43" s="335"/>
      <c r="E43" s="336"/>
      <c r="F43" s="337"/>
      <c r="G43" s="338"/>
      <c r="H43" s="338"/>
      <c r="I43" s="283"/>
      <c r="J43" s="283"/>
      <c r="K43" s="339"/>
      <c r="L43" s="339"/>
      <c r="M43" s="339"/>
      <c r="N43" s="339"/>
      <c r="O43" s="339"/>
      <c r="P43" s="339"/>
      <c r="Q43" s="339"/>
      <c r="R43" s="339"/>
      <c r="S43" s="339"/>
      <c r="T43" s="339"/>
      <c r="U43" s="339"/>
      <c r="V43" s="339"/>
      <c r="W43" s="339"/>
      <c r="X43" s="339"/>
      <c r="Y43" s="339"/>
      <c r="Z43" s="339"/>
      <c r="AA43" s="339"/>
      <c r="AB43" s="339"/>
      <c r="AC43" s="339"/>
      <c r="AD43" s="339"/>
      <c r="AE43" s="339"/>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row>
    <row r="44" spans="1:56" ht="15">
      <c r="A44" s="335"/>
      <c r="B44" s="335"/>
      <c r="C44" s="335"/>
      <c r="D44" s="335"/>
      <c r="E44" s="336"/>
      <c r="F44" s="337"/>
      <c r="G44" s="338"/>
      <c r="H44" s="338"/>
      <c r="I44" s="283"/>
      <c r="J44" s="283"/>
      <c r="K44" s="339"/>
      <c r="L44" s="339"/>
      <c r="M44" s="339"/>
      <c r="N44" s="339"/>
      <c r="O44" s="339"/>
      <c r="P44" s="339"/>
      <c r="Q44" s="339"/>
      <c r="R44" s="339"/>
      <c r="S44" s="339"/>
      <c r="T44" s="339"/>
      <c r="U44" s="339"/>
      <c r="V44" s="339"/>
      <c r="W44" s="339"/>
      <c r="X44" s="339"/>
      <c r="Y44" s="339"/>
      <c r="Z44" s="339"/>
      <c r="AA44" s="339"/>
      <c r="AB44" s="339"/>
      <c r="AC44" s="339"/>
      <c r="AD44" s="339"/>
      <c r="AE44" s="339"/>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row>
    <row r="45" spans="1:56" ht="15">
      <c r="A45" s="335"/>
      <c r="B45" s="335"/>
      <c r="C45" s="335"/>
      <c r="D45" s="335"/>
      <c r="E45" s="336"/>
      <c r="F45" s="337"/>
      <c r="G45" s="338"/>
      <c r="H45" s="338"/>
      <c r="I45" s="283"/>
      <c r="J45" s="283"/>
      <c r="K45" s="339"/>
      <c r="L45" s="339"/>
      <c r="M45" s="339"/>
      <c r="N45" s="339"/>
      <c r="O45" s="339"/>
      <c r="P45" s="339"/>
      <c r="Q45" s="339"/>
      <c r="R45" s="339"/>
      <c r="S45" s="339"/>
      <c r="T45" s="339"/>
      <c r="U45" s="339"/>
      <c r="V45" s="339"/>
      <c r="W45" s="339"/>
      <c r="X45" s="339"/>
      <c r="Y45" s="339"/>
      <c r="Z45" s="339"/>
      <c r="AA45" s="339"/>
      <c r="AB45" s="339"/>
      <c r="AC45" s="339"/>
      <c r="AD45" s="339"/>
      <c r="AE45" s="339"/>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row>
    <row r="46" spans="1:56" ht="15">
      <c r="A46" s="335"/>
      <c r="B46" s="335"/>
      <c r="C46" s="335"/>
      <c r="D46" s="335"/>
      <c r="E46" s="336"/>
      <c r="F46" s="337"/>
      <c r="G46" s="338"/>
      <c r="H46" s="338"/>
      <c r="I46" s="283"/>
      <c r="J46" s="283"/>
      <c r="K46" s="339"/>
      <c r="L46" s="339"/>
      <c r="M46" s="339"/>
      <c r="N46" s="339"/>
      <c r="O46" s="339"/>
      <c r="P46" s="339"/>
      <c r="Q46" s="339"/>
      <c r="R46" s="339"/>
      <c r="S46" s="339"/>
      <c r="T46" s="339"/>
      <c r="U46" s="339"/>
      <c r="V46" s="339"/>
      <c r="W46" s="339"/>
      <c r="X46" s="339"/>
      <c r="Y46" s="339"/>
      <c r="Z46" s="339"/>
      <c r="AA46" s="339"/>
      <c r="AB46" s="339"/>
      <c r="AC46" s="339"/>
      <c r="AD46" s="339"/>
      <c r="AE46" s="339"/>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codeName="Sheet3"/>
  <dimension ref="A1:CB160"/>
  <sheetViews>
    <sheetView zoomScale="90" zoomScaleNormal="90" workbookViewId="0">
      <selection activeCell="E80" sqref="E80:X80"/>
    </sheetView>
  </sheetViews>
  <sheetFormatPr defaultRowHeight="12.75"/>
  <cols>
    <col min="1" max="1" width="45.5703125" style="71" customWidth="1"/>
    <col min="2" max="2" width="20.28515625" style="71" customWidth="1"/>
    <col min="3" max="3" width="29.28515625" style="71" customWidth="1"/>
    <col min="4" max="4" width="35.7109375" style="71" customWidth="1"/>
    <col min="5" max="5" width="11" style="71" customWidth="1"/>
    <col min="6" max="24" width="10.42578125" style="71" bestFit="1" customWidth="1"/>
    <col min="25" max="25" width="17.7109375" style="71" bestFit="1" customWidth="1"/>
    <col min="26" max="255" width="9.140625" style="71"/>
    <col min="256" max="256" width="35" style="71" customWidth="1"/>
    <col min="257" max="257" width="16" style="71" customWidth="1"/>
    <col min="258" max="258" width="29.140625" style="71" customWidth="1"/>
    <col min="259" max="259" width="12.85546875" style="71" bestFit="1" customWidth="1"/>
    <col min="260" max="260" width="9.42578125" style="71" customWidth="1"/>
    <col min="261" max="511" width="9.140625" style="71"/>
    <col min="512" max="512" width="35" style="71" customWidth="1"/>
    <col min="513" max="513" width="16" style="71" customWidth="1"/>
    <col min="514" max="514" width="29.140625" style="71" customWidth="1"/>
    <col min="515" max="515" width="12.85546875" style="71" bestFit="1" customWidth="1"/>
    <col min="516" max="516" width="9.42578125" style="71" customWidth="1"/>
    <col min="517" max="767" width="9.140625" style="71"/>
    <col min="768" max="768" width="35" style="71" customWidth="1"/>
    <col min="769" max="769" width="16" style="71" customWidth="1"/>
    <col min="770" max="770" width="29.140625" style="71" customWidth="1"/>
    <col min="771" max="771" width="12.85546875" style="71" bestFit="1" customWidth="1"/>
    <col min="772" max="772" width="9.42578125" style="71" customWidth="1"/>
    <col min="773" max="1023" width="9.140625" style="71"/>
    <col min="1024" max="1024" width="35" style="71" customWidth="1"/>
    <col min="1025" max="1025" width="16" style="71" customWidth="1"/>
    <col min="1026" max="1026" width="29.140625" style="71" customWidth="1"/>
    <col min="1027" max="1027" width="12.85546875" style="71" bestFit="1" customWidth="1"/>
    <col min="1028" max="1028" width="9.42578125" style="71" customWidth="1"/>
    <col min="1029" max="1279" width="9.140625" style="71"/>
    <col min="1280" max="1280" width="35" style="71" customWidth="1"/>
    <col min="1281" max="1281" width="16" style="71" customWidth="1"/>
    <col min="1282" max="1282" width="29.140625" style="71" customWidth="1"/>
    <col min="1283" max="1283" width="12.85546875" style="71" bestFit="1" customWidth="1"/>
    <col min="1284" max="1284" width="9.42578125" style="71" customWidth="1"/>
    <col min="1285" max="1535" width="9.140625" style="71"/>
    <col min="1536" max="1536" width="35" style="71" customWidth="1"/>
    <col min="1537" max="1537" width="16" style="71" customWidth="1"/>
    <col min="1538" max="1538" width="29.140625" style="71" customWidth="1"/>
    <col min="1539" max="1539" width="12.85546875" style="71" bestFit="1" customWidth="1"/>
    <col min="1540" max="1540" width="9.42578125" style="71" customWidth="1"/>
    <col min="1541" max="1791" width="9.140625" style="71"/>
    <col min="1792" max="1792" width="35" style="71" customWidth="1"/>
    <col min="1793" max="1793" width="16" style="71" customWidth="1"/>
    <col min="1794" max="1794" width="29.140625" style="71" customWidth="1"/>
    <col min="1795" max="1795" width="12.85546875" style="71" bestFit="1" customWidth="1"/>
    <col min="1796" max="1796" width="9.42578125" style="71" customWidth="1"/>
    <col min="1797" max="2047" width="9.140625" style="71"/>
    <col min="2048" max="2048" width="35" style="71" customWidth="1"/>
    <col min="2049" max="2049" width="16" style="71" customWidth="1"/>
    <col min="2050" max="2050" width="29.140625" style="71" customWidth="1"/>
    <col min="2051" max="2051" width="12.85546875" style="71" bestFit="1" customWidth="1"/>
    <col min="2052" max="2052" width="9.42578125" style="71" customWidth="1"/>
    <col min="2053" max="2303" width="9.140625" style="71"/>
    <col min="2304" max="2304" width="35" style="71" customWidth="1"/>
    <col min="2305" max="2305" width="16" style="71" customWidth="1"/>
    <col min="2306" max="2306" width="29.140625" style="71" customWidth="1"/>
    <col min="2307" max="2307" width="12.85546875" style="71" bestFit="1" customWidth="1"/>
    <col min="2308" max="2308" width="9.42578125" style="71" customWidth="1"/>
    <col min="2309" max="2559" width="9.140625" style="71"/>
    <col min="2560" max="2560" width="35" style="71" customWidth="1"/>
    <col min="2561" max="2561" width="16" style="71" customWidth="1"/>
    <col min="2562" max="2562" width="29.140625" style="71" customWidth="1"/>
    <col min="2563" max="2563" width="12.85546875" style="71" bestFit="1" customWidth="1"/>
    <col min="2564" max="2564" width="9.42578125" style="71" customWidth="1"/>
    <col min="2565" max="2815" width="9.140625" style="71"/>
    <col min="2816" max="2816" width="35" style="71" customWidth="1"/>
    <col min="2817" max="2817" width="16" style="71" customWidth="1"/>
    <col min="2818" max="2818" width="29.140625" style="71" customWidth="1"/>
    <col min="2819" max="2819" width="12.85546875" style="71" bestFit="1" customWidth="1"/>
    <col min="2820" max="2820" width="9.42578125" style="71" customWidth="1"/>
    <col min="2821" max="3071" width="9.140625" style="71"/>
    <col min="3072" max="3072" width="35" style="71" customWidth="1"/>
    <col min="3073" max="3073" width="16" style="71" customWidth="1"/>
    <col min="3074" max="3074" width="29.140625" style="71" customWidth="1"/>
    <col min="3075" max="3075" width="12.85546875" style="71" bestFit="1" customWidth="1"/>
    <col min="3076" max="3076" width="9.42578125" style="71" customWidth="1"/>
    <col min="3077" max="3327" width="9.140625" style="71"/>
    <col min="3328" max="3328" width="35" style="71" customWidth="1"/>
    <col min="3329" max="3329" width="16" style="71" customWidth="1"/>
    <col min="3330" max="3330" width="29.140625" style="71" customWidth="1"/>
    <col min="3331" max="3331" width="12.85546875" style="71" bestFit="1" customWidth="1"/>
    <col min="3332" max="3332" width="9.42578125" style="71" customWidth="1"/>
    <col min="3333" max="3583" width="9.140625" style="71"/>
    <col min="3584" max="3584" width="35" style="71" customWidth="1"/>
    <col min="3585" max="3585" width="16" style="71" customWidth="1"/>
    <col min="3586" max="3586" width="29.140625" style="71" customWidth="1"/>
    <col min="3587" max="3587" width="12.85546875" style="71" bestFit="1" customWidth="1"/>
    <col min="3588" max="3588" width="9.42578125" style="71" customWidth="1"/>
    <col min="3589" max="3839" width="9.140625" style="71"/>
    <col min="3840" max="3840" width="35" style="71" customWidth="1"/>
    <col min="3841" max="3841" width="16" style="71" customWidth="1"/>
    <col min="3842" max="3842" width="29.140625" style="71" customWidth="1"/>
    <col min="3843" max="3843" width="12.85546875" style="71" bestFit="1" customWidth="1"/>
    <col min="3844" max="3844" width="9.42578125" style="71" customWidth="1"/>
    <col min="3845" max="4095" width="9.140625" style="71"/>
    <col min="4096" max="4096" width="35" style="71" customWidth="1"/>
    <col min="4097" max="4097" width="16" style="71" customWidth="1"/>
    <col min="4098" max="4098" width="29.140625" style="71" customWidth="1"/>
    <col min="4099" max="4099" width="12.85546875" style="71" bestFit="1" customWidth="1"/>
    <col min="4100" max="4100" width="9.42578125" style="71" customWidth="1"/>
    <col min="4101" max="4351" width="9.140625" style="71"/>
    <col min="4352" max="4352" width="35" style="71" customWidth="1"/>
    <col min="4353" max="4353" width="16" style="71" customWidth="1"/>
    <col min="4354" max="4354" width="29.140625" style="71" customWidth="1"/>
    <col min="4355" max="4355" width="12.85546875" style="71" bestFit="1" customWidth="1"/>
    <col min="4356" max="4356" width="9.42578125" style="71" customWidth="1"/>
    <col min="4357" max="4607" width="9.140625" style="71"/>
    <col min="4608" max="4608" width="35" style="71" customWidth="1"/>
    <col min="4609" max="4609" width="16" style="71" customWidth="1"/>
    <col min="4610" max="4610" width="29.140625" style="71" customWidth="1"/>
    <col min="4611" max="4611" width="12.85546875" style="71" bestFit="1" customWidth="1"/>
    <col min="4612" max="4612" width="9.42578125" style="71" customWidth="1"/>
    <col min="4613" max="4863" width="9.140625" style="71"/>
    <col min="4864" max="4864" width="35" style="71" customWidth="1"/>
    <col min="4865" max="4865" width="16" style="71" customWidth="1"/>
    <col min="4866" max="4866" width="29.140625" style="71" customWidth="1"/>
    <col min="4867" max="4867" width="12.85546875" style="71" bestFit="1" customWidth="1"/>
    <col min="4868" max="4868" width="9.42578125" style="71" customWidth="1"/>
    <col min="4869" max="5119" width="9.140625" style="71"/>
    <col min="5120" max="5120" width="35" style="71" customWidth="1"/>
    <col min="5121" max="5121" width="16" style="71" customWidth="1"/>
    <col min="5122" max="5122" width="29.140625" style="71" customWidth="1"/>
    <col min="5123" max="5123" width="12.85546875" style="71" bestFit="1" customWidth="1"/>
    <col min="5124" max="5124" width="9.42578125" style="71" customWidth="1"/>
    <col min="5125" max="5375" width="9.140625" style="71"/>
    <col min="5376" max="5376" width="35" style="71" customWidth="1"/>
    <col min="5377" max="5377" width="16" style="71" customWidth="1"/>
    <col min="5378" max="5378" width="29.140625" style="71" customWidth="1"/>
    <col min="5379" max="5379" width="12.85546875" style="71" bestFit="1" customWidth="1"/>
    <col min="5380" max="5380" width="9.42578125" style="71" customWidth="1"/>
    <col min="5381" max="5631" width="9.140625" style="71"/>
    <col min="5632" max="5632" width="35" style="71" customWidth="1"/>
    <col min="5633" max="5633" width="16" style="71" customWidth="1"/>
    <col min="5634" max="5634" width="29.140625" style="71" customWidth="1"/>
    <col min="5635" max="5635" width="12.85546875" style="71" bestFit="1" customWidth="1"/>
    <col min="5636" max="5636" width="9.42578125" style="71" customWidth="1"/>
    <col min="5637" max="5887" width="9.140625" style="71"/>
    <col min="5888" max="5888" width="35" style="71" customWidth="1"/>
    <col min="5889" max="5889" width="16" style="71" customWidth="1"/>
    <col min="5890" max="5890" width="29.140625" style="71" customWidth="1"/>
    <col min="5891" max="5891" width="12.85546875" style="71" bestFit="1" customWidth="1"/>
    <col min="5892" max="5892" width="9.42578125" style="71" customWidth="1"/>
    <col min="5893" max="6143" width="9.140625" style="71"/>
    <col min="6144" max="6144" width="35" style="71" customWidth="1"/>
    <col min="6145" max="6145" width="16" style="71" customWidth="1"/>
    <col min="6146" max="6146" width="29.140625" style="71" customWidth="1"/>
    <col min="6147" max="6147" width="12.85546875" style="71" bestFit="1" customWidth="1"/>
    <col min="6148" max="6148" width="9.42578125" style="71" customWidth="1"/>
    <col min="6149" max="6399" width="9.140625" style="71"/>
    <col min="6400" max="6400" width="35" style="71" customWidth="1"/>
    <col min="6401" max="6401" width="16" style="71" customWidth="1"/>
    <col min="6402" max="6402" width="29.140625" style="71" customWidth="1"/>
    <col min="6403" max="6403" width="12.85546875" style="71" bestFit="1" customWidth="1"/>
    <col min="6404" max="6404" width="9.42578125" style="71" customWidth="1"/>
    <col min="6405" max="6655" width="9.140625" style="71"/>
    <col min="6656" max="6656" width="35" style="71" customWidth="1"/>
    <col min="6657" max="6657" width="16" style="71" customWidth="1"/>
    <col min="6658" max="6658" width="29.140625" style="71" customWidth="1"/>
    <col min="6659" max="6659" width="12.85546875" style="71" bestFit="1" customWidth="1"/>
    <col min="6660" max="6660" width="9.42578125" style="71" customWidth="1"/>
    <col min="6661" max="6911" width="9.140625" style="71"/>
    <col min="6912" max="6912" width="35" style="71" customWidth="1"/>
    <col min="6913" max="6913" width="16" style="71" customWidth="1"/>
    <col min="6914" max="6914" width="29.140625" style="71" customWidth="1"/>
    <col min="6915" max="6915" width="12.85546875" style="71" bestFit="1" customWidth="1"/>
    <col min="6916" max="6916" width="9.42578125" style="71" customWidth="1"/>
    <col min="6917" max="7167" width="9.140625" style="71"/>
    <col min="7168" max="7168" width="35" style="71" customWidth="1"/>
    <col min="7169" max="7169" width="16" style="71" customWidth="1"/>
    <col min="7170" max="7170" width="29.140625" style="71" customWidth="1"/>
    <col min="7171" max="7171" width="12.85546875" style="71" bestFit="1" customWidth="1"/>
    <col min="7172" max="7172" width="9.42578125" style="71" customWidth="1"/>
    <col min="7173" max="7423" width="9.140625" style="71"/>
    <col min="7424" max="7424" width="35" style="71" customWidth="1"/>
    <col min="7425" max="7425" width="16" style="71" customWidth="1"/>
    <col min="7426" max="7426" width="29.140625" style="71" customWidth="1"/>
    <col min="7427" max="7427" width="12.85546875" style="71" bestFit="1" customWidth="1"/>
    <col min="7428" max="7428" width="9.42578125" style="71" customWidth="1"/>
    <col min="7429" max="7679" width="9.140625" style="71"/>
    <col min="7680" max="7680" width="35" style="71" customWidth="1"/>
    <col min="7681" max="7681" width="16" style="71" customWidth="1"/>
    <col min="7682" max="7682" width="29.140625" style="71" customWidth="1"/>
    <col min="7683" max="7683" width="12.85546875" style="71" bestFit="1" customWidth="1"/>
    <col min="7684" max="7684" width="9.42578125" style="71" customWidth="1"/>
    <col min="7685" max="7935" width="9.140625" style="71"/>
    <col min="7936" max="7936" width="35" style="71" customWidth="1"/>
    <col min="7937" max="7937" width="16" style="71" customWidth="1"/>
    <col min="7938" max="7938" width="29.140625" style="71" customWidth="1"/>
    <col min="7939" max="7939" width="12.85546875" style="71" bestFit="1" customWidth="1"/>
    <col min="7940" max="7940" width="9.42578125" style="71" customWidth="1"/>
    <col min="7941" max="8191" width="9.140625" style="71"/>
    <col min="8192" max="8192" width="35" style="71" customWidth="1"/>
    <col min="8193" max="8193" width="16" style="71" customWidth="1"/>
    <col min="8194" max="8194" width="29.140625" style="71" customWidth="1"/>
    <col min="8195" max="8195" width="12.85546875" style="71" bestFit="1" customWidth="1"/>
    <col min="8196" max="8196" width="9.42578125" style="71" customWidth="1"/>
    <col min="8197" max="8447" width="9.140625" style="71"/>
    <col min="8448" max="8448" width="35" style="71" customWidth="1"/>
    <col min="8449" max="8449" width="16" style="71" customWidth="1"/>
    <col min="8450" max="8450" width="29.140625" style="71" customWidth="1"/>
    <col min="8451" max="8451" width="12.85546875" style="71" bestFit="1" customWidth="1"/>
    <col min="8452" max="8452" width="9.42578125" style="71" customWidth="1"/>
    <col min="8453" max="8703" width="9.140625" style="71"/>
    <col min="8704" max="8704" width="35" style="71" customWidth="1"/>
    <col min="8705" max="8705" width="16" style="71" customWidth="1"/>
    <col min="8706" max="8706" width="29.140625" style="71" customWidth="1"/>
    <col min="8707" max="8707" width="12.85546875" style="71" bestFit="1" customWidth="1"/>
    <col min="8708" max="8708" width="9.42578125" style="71" customWidth="1"/>
    <col min="8709" max="8959" width="9.140625" style="71"/>
    <col min="8960" max="8960" width="35" style="71" customWidth="1"/>
    <col min="8961" max="8961" width="16" style="71" customWidth="1"/>
    <col min="8962" max="8962" width="29.140625" style="71" customWidth="1"/>
    <col min="8963" max="8963" width="12.85546875" style="71" bestFit="1" customWidth="1"/>
    <col min="8964" max="8964" width="9.42578125" style="71" customWidth="1"/>
    <col min="8965" max="9215" width="9.140625" style="71"/>
    <col min="9216" max="9216" width="35" style="71" customWidth="1"/>
    <col min="9217" max="9217" width="16" style="71" customWidth="1"/>
    <col min="9218" max="9218" width="29.140625" style="71" customWidth="1"/>
    <col min="9219" max="9219" width="12.85546875" style="71" bestFit="1" customWidth="1"/>
    <col min="9220" max="9220" width="9.42578125" style="71" customWidth="1"/>
    <col min="9221" max="9471" width="9.140625" style="71"/>
    <col min="9472" max="9472" width="35" style="71" customWidth="1"/>
    <col min="9473" max="9473" width="16" style="71" customWidth="1"/>
    <col min="9474" max="9474" width="29.140625" style="71" customWidth="1"/>
    <col min="9475" max="9475" width="12.85546875" style="71" bestFit="1" customWidth="1"/>
    <col min="9476" max="9476" width="9.42578125" style="71" customWidth="1"/>
    <col min="9477" max="9727" width="9.140625" style="71"/>
    <col min="9728" max="9728" width="35" style="71" customWidth="1"/>
    <col min="9729" max="9729" width="16" style="71" customWidth="1"/>
    <col min="9730" max="9730" width="29.140625" style="71" customWidth="1"/>
    <col min="9731" max="9731" width="12.85546875" style="71" bestFit="1" customWidth="1"/>
    <col min="9732" max="9732" width="9.42578125" style="71" customWidth="1"/>
    <col min="9733" max="9983" width="9.140625" style="71"/>
    <col min="9984" max="9984" width="35" style="71" customWidth="1"/>
    <col min="9985" max="9985" width="16" style="71" customWidth="1"/>
    <col min="9986" max="9986" width="29.140625" style="71" customWidth="1"/>
    <col min="9987" max="9987" width="12.85546875" style="71" bestFit="1" customWidth="1"/>
    <col min="9988" max="9988" width="9.42578125" style="71" customWidth="1"/>
    <col min="9989" max="10239" width="9.140625" style="71"/>
    <col min="10240" max="10240" width="35" style="71" customWidth="1"/>
    <col min="10241" max="10241" width="16" style="71" customWidth="1"/>
    <col min="10242" max="10242" width="29.140625" style="71" customWidth="1"/>
    <col min="10243" max="10243" width="12.85546875" style="71" bestFit="1" customWidth="1"/>
    <col min="10244" max="10244" width="9.42578125" style="71" customWidth="1"/>
    <col min="10245" max="10495" width="9.140625" style="71"/>
    <col min="10496" max="10496" width="35" style="71" customWidth="1"/>
    <col min="10497" max="10497" width="16" style="71" customWidth="1"/>
    <col min="10498" max="10498" width="29.140625" style="71" customWidth="1"/>
    <col min="10499" max="10499" width="12.85546875" style="71" bestFit="1" customWidth="1"/>
    <col min="10500" max="10500" width="9.42578125" style="71" customWidth="1"/>
    <col min="10501" max="10751" width="9.140625" style="71"/>
    <col min="10752" max="10752" width="35" style="71" customWidth="1"/>
    <col min="10753" max="10753" width="16" style="71" customWidth="1"/>
    <col min="10754" max="10754" width="29.140625" style="71" customWidth="1"/>
    <col min="10755" max="10755" width="12.85546875" style="71" bestFit="1" customWidth="1"/>
    <col min="10756" max="10756" width="9.42578125" style="71" customWidth="1"/>
    <col min="10757" max="11007" width="9.140625" style="71"/>
    <col min="11008" max="11008" width="35" style="71" customWidth="1"/>
    <col min="11009" max="11009" width="16" style="71" customWidth="1"/>
    <col min="11010" max="11010" width="29.140625" style="71" customWidth="1"/>
    <col min="11011" max="11011" width="12.85546875" style="71" bestFit="1" customWidth="1"/>
    <col min="11012" max="11012" width="9.42578125" style="71" customWidth="1"/>
    <col min="11013" max="11263" width="9.140625" style="71"/>
    <col min="11264" max="11264" width="35" style="71" customWidth="1"/>
    <col min="11265" max="11265" width="16" style="71" customWidth="1"/>
    <col min="11266" max="11266" width="29.140625" style="71" customWidth="1"/>
    <col min="11267" max="11267" width="12.85546875" style="71" bestFit="1" customWidth="1"/>
    <col min="11268" max="11268" width="9.42578125" style="71" customWidth="1"/>
    <col min="11269" max="11519" width="9.140625" style="71"/>
    <col min="11520" max="11520" width="35" style="71" customWidth="1"/>
    <col min="11521" max="11521" width="16" style="71" customWidth="1"/>
    <col min="11522" max="11522" width="29.140625" style="71" customWidth="1"/>
    <col min="11523" max="11523" width="12.85546875" style="71" bestFit="1" customWidth="1"/>
    <col min="11524" max="11524" width="9.42578125" style="71" customWidth="1"/>
    <col min="11525" max="11775" width="9.140625" style="71"/>
    <col min="11776" max="11776" width="35" style="71" customWidth="1"/>
    <col min="11777" max="11777" width="16" style="71" customWidth="1"/>
    <col min="11778" max="11778" width="29.140625" style="71" customWidth="1"/>
    <col min="11779" max="11779" width="12.85546875" style="71" bestFit="1" customWidth="1"/>
    <col min="11780" max="11780" width="9.42578125" style="71" customWidth="1"/>
    <col min="11781" max="12031" width="9.140625" style="71"/>
    <col min="12032" max="12032" width="35" style="71" customWidth="1"/>
    <col min="12033" max="12033" width="16" style="71" customWidth="1"/>
    <col min="12034" max="12034" width="29.140625" style="71" customWidth="1"/>
    <col min="12035" max="12035" width="12.85546875" style="71" bestFit="1" customWidth="1"/>
    <col min="12036" max="12036" width="9.42578125" style="71" customWidth="1"/>
    <col min="12037" max="12287" width="9.140625" style="71"/>
    <col min="12288" max="12288" width="35" style="71" customWidth="1"/>
    <col min="12289" max="12289" width="16" style="71" customWidth="1"/>
    <col min="12290" max="12290" width="29.140625" style="71" customWidth="1"/>
    <col min="12291" max="12291" width="12.85546875" style="71" bestFit="1" customWidth="1"/>
    <col min="12292" max="12292" width="9.42578125" style="71" customWidth="1"/>
    <col min="12293" max="12543" width="9.140625" style="71"/>
    <col min="12544" max="12544" width="35" style="71" customWidth="1"/>
    <col min="12545" max="12545" width="16" style="71" customWidth="1"/>
    <col min="12546" max="12546" width="29.140625" style="71" customWidth="1"/>
    <col min="12547" max="12547" width="12.85546875" style="71" bestFit="1" customWidth="1"/>
    <col min="12548" max="12548" width="9.42578125" style="71" customWidth="1"/>
    <col min="12549" max="12799" width="9.140625" style="71"/>
    <col min="12800" max="12800" width="35" style="71" customWidth="1"/>
    <col min="12801" max="12801" width="16" style="71" customWidth="1"/>
    <col min="12802" max="12802" width="29.140625" style="71" customWidth="1"/>
    <col min="12803" max="12803" width="12.85546875" style="71" bestFit="1" customWidth="1"/>
    <col min="12804" max="12804" width="9.42578125" style="71" customWidth="1"/>
    <col min="12805" max="13055" width="9.140625" style="71"/>
    <col min="13056" max="13056" width="35" style="71" customWidth="1"/>
    <col min="13057" max="13057" width="16" style="71" customWidth="1"/>
    <col min="13058" max="13058" width="29.140625" style="71" customWidth="1"/>
    <col min="13059" max="13059" width="12.85546875" style="71" bestFit="1" customWidth="1"/>
    <col min="13060" max="13060" width="9.42578125" style="71" customWidth="1"/>
    <col min="13061" max="13311" width="9.140625" style="71"/>
    <col min="13312" max="13312" width="35" style="71" customWidth="1"/>
    <col min="13313" max="13313" width="16" style="71" customWidth="1"/>
    <col min="13314" max="13314" width="29.140625" style="71" customWidth="1"/>
    <col min="13315" max="13315" width="12.85546875" style="71" bestFit="1" customWidth="1"/>
    <col min="13316" max="13316" width="9.42578125" style="71" customWidth="1"/>
    <col min="13317" max="13567" width="9.140625" style="71"/>
    <col min="13568" max="13568" width="35" style="71" customWidth="1"/>
    <col min="13569" max="13569" width="16" style="71" customWidth="1"/>
    <col min="13570" max="13570" width="29.140625" style="71" customWidth="1"/>
    <col min="13571" max="13571" width="12.85546875" style="71" bestFit="1" customWidth="1"/>
    <col min="13572" max="13572" width="9.42578125" style="71" customWidth="1"/>
    <col min="13573" max="13823" width="9.140625" style="71"/>
    <col min="13824" max="13824" width="35" style="71" customWidth="1"/>
    <col min="13825" max="13825" width="16" style="71" customWidth="1"/>
    <col min="13826" max="13826" width="29.140625" style="71" customWidth="1"/>
    <col min="13827" max="13827" width="12.85546875" style="71" bestFit="1" customWidth="1"/>
    <col min="13828" max="13828" width="9.42578125" style="71" customWidth="1"/>
    <col min="13829" max="14079" width="9.140625" style="71"/>
    <col min="14080" max="14080" width="35" style="71" customWidth="1"/>
    <col min="14081" max="14081" width="16" style="71" customWidth="1"/>
    <col min="14082" max="14082" width="29.140625" style="71" customWidth="1"/>
    <col min="14083" max="14083" width="12.85546875" style="71" bestFit="1" customWidth="1"/>
    <col min="14084" max="14084" width="9.42578125" style="71" customWidth="1"/>
    <col min="14085" max="14335" width="9.140625" style="71"/>
    <col min="14336" max="14336" width="35" style="71" customWidth="1"/>
    <col min="14337" max="14337" width="16" style="71" customWidth="1"/>
    <col min="14338" max="14338" width="29.140625" style="71" customWidth="1"/>
    <col min="14339" max="14339" width="12.85546875" style="71" bestFit="1" customWidth="1"/>
    <col min="14340" max="14340" width="9.42578125" style="71" customWidth="1"/>
    <col min="14341" max="14591" width="9.140625" style="71"/>
    <col min="14592" max="14592" width="35" style="71" customWidth="1"/>
    <col min="14593" max="14593" width="16" style="71" customWidth="1"/>
    <col min="14594" max="14594" width="29.140625" style="71" customWidth="1"/>
    <col min="14595" max="14595" width="12.85546875" style="71" bestFit="1" customWidth="1"/>
    <col min="14596" max="14596" width="9.42578125" style="71" customWidth="1"/>
    <col min="14597" max="14847" width="9.140625" style="71"/>
    <col min="14848" max="14848" width="35" style="71" customWidth="1"/>
    <col min="14849" max="14849" width="16" style="71" customWidth="1"/>
    <col min="14850" max="14850" width="29.140625" style="71" customWidth="1"/>
    <col min="14851" max="14851" width="12.85546875" style="71" bestFit="1" customWidth="1"/>
    <col min="14852" max="14852" width="9.42578125" style="71" customWidth="1"/>
    <col min="14853" max="15103" width="9.140625" style="71"/>
    <col min="15104" max="15104" width="35" style="71" customWidth="1"/>
    <col min="15105" max="15105" width="16" style="71" customWidth="1"/>
    <col min="15106" max="15106" width="29.140625" style="71" customWidth="1"/>
    <col min="15107" max="15107" width="12.85546875" style="71" bestFit="1" customWidth="1"/>
    <col min="15108" max="15108" width="9.42578125" style="71" customWidth="1"/>
    <col min="15109" max="15359" width="9.140625" style="71"/>
    <col min="15360" max="15360" width="35" style="71" customWidth="1"/>
    <col min="15361" max="15361" width="16" style="71" customWidth="1"/>
    <col min="15362" max="15362" width="29.140625" style="71" customWidth="1"/>
    <col min="15363" max="15363" width="12.85546875" style="71" bestFit="1" customWidth="1"/>
    <col min="15364" max="15364" width="9.42578125" style="71" customWidth="1"/>
    <col min="15365" max="15615" width="9.140625" style="71"/>
    <col min="15616" max="15616" width="35" style="71" customWidth="1"/>
    <col min="15617" max="15617" width="16" style="71" customWidth="1"/>
    <col min="15618" max="15618" width="29.140625" style="71" customWidth="1"/>
    <col min="15619" max="15619" width="12.85546875" style="71" bestFit="1" customWidth="1"/>
    <col min="15620" max="15620" width="9.42578125" style="71" customWidth="1"/>
    <col min="15621" max="15871" width="9.140625" style="71"/>
    <col min="15872" max="15872" width="35" style="71" customWidth="1"/>
    <col min="15873" max="15873" width="16" style="71" customWidth="1"/>
    <col min="15874" max="15874" width="29.140625" style="71" customWidth="1"/>
    <col min="15875" max="15875" width="12.85546875" style="71" bestFit="1" customWidth="1"/>
    <col min="15876" max="15876" width="9.42578125" style="71" customWidth="1"/>
    <col min="15877" max="16127" width="9.140625" style="71"/>
    <col min="16128" max="16128" width="35" style="71" customWidth="1"/>
    <col min="16129" max="16129" width="16" style="71" customWidth="1"/>
    <col min="16130" max="16130" width="29.140625" style="71" customWidth="1"/>
    <col min="16131" max="16131" width="12.85546875" style="71" bestFit="1" customWidth="1"/>
    <col min="16132" max="16132" width="9.42578125" style="71" customWidth="1"/>
    <col min="16133" max="16384" width="9.140625" style="71"/>
  </cols>
  <sheetData>
    <row r="1" spans="1:25">
      <c r="A1" s="69" t="s">
        <v>175</v>
      </c>
      <c r="B1" s="398" t="s">
        <v>460</v>
      </c>
      <c r="C1" s="399"/>
      <c r="D1" s="399"/>
      <c r="E1" s="399"/>
      <c r="F1" s="399"/>
      <c r="G1" s="399"/>
      <c r="H1" s="399"/>
      <c r="I1" s="399"/>
      <c r="J1" s="399"/>
      <c r="K1" s="399"/>
      <c r="L1" s="399"/>
      <c r="M1" s="399"/>
      <c r="N1" s="399"/>
      <c r="O1" s="399"/>
      <c r="P1" s="399"/>
      <c r="Q1" s="399"/>
      <c r="R1" s="399"/>
      <c r="S1" s="400"/>
      <c r="T1" s="70"/>
      <c r="U1" s="70"/>
      <c r="V1" s="70"/>
      <c r="W1" s="70"/>
    </row>
    <row r="2" spans="1:25">
      <c r="A2" s="72"/>
      <c r="B2" s="401"/>
      <c r="C2" s="402"/>
      <c r="D2" s="402"/>
      <c r="E2" s="402"/>
      <c r="F2" s="402"/>
      <c r="G2" s="402"/>
      <c r="H2" s="402"/>
      <c r="I2" s="402"/>
      <c r="J2" s="402"/>
      <c r="K2" s="402"/>
      <c r="L2" s="402"/>
      <c r="M2" s="402"/>
      <c r="N2" s="402"/>
      <c r="O2" s="402"/>
      <c r="P2" s="402"/>
      <c r="Q2" s="402"/>
      <c r="R2" s="402"/>
      <c r="S2" s="403"/>
      <c r="T2" s="73"/>
      <c r="U2" s="73"/>
      <c r="V2" s="73"/>
      <c r="W2" s="73"/>
    </row>
    <row r="3" spans="1:25">
      <c r="A3" s="72"/>
      <c r="B3" s="401"/>
      <c r="C3" s="402"/>
      <c r="D3" s="402"/>
      <c r="E3" s="402"/>
      <c r="F3" s="402"/>
      <c r="G3" s="402"/>
      <c r="H3" s="402"/>
      <c r="I3" s="402"/>
      <c r="J3" s="402"/>
      <c r="K3" s="402"/>
      <c r="L3" s="402"/>
      <c r="M3" s="402"/>
      <c r="N3" s="402"/>
      <c r="O3" s="402"/>
      <c r="P3" s="402"/>
      <c r="Q3" s="402"/>
      <c r="R3" s="402"/>
      <c r="S3" s="403"/>
      <c r="T3" s="73"/>
      <c r="U3" s="73"/>
      <c r="V3" s="73"/>
      <c r="W3" s="73"/>
    </row>
    <row r="4" spans="1:25">
      <c r="A4" s="72"/>
      <c r="B4" s="401"/>
      <c r="C4" s="402"/>
      <c r="D4" s="402"/>
      <c r="E4" s="402"/>
      <c r="F4" s="402"/>
      <c r="G4" s="402"/>
      <c r="H4" s="402"/>
      <c r="I4" s="402"/>
      <c r="J4" s="402"/>
      <c r="K4" s="402"/>
      <c r="L4" s="402"/>
      <c r="M4" s="402"/>
      <c r="N4" s="402"/>
      <c r="O4" s="402"/>
      <c r="P4" s="402"/>
      <c r="Q4" s="402"/>
      <c r="R4" s="402"/>
      <c r="S4" s="403"/>
      <c r="T4" s="73"/>
      <c r="U4" s="73"/>
      <c r="V4" s="73"/>
      <c r="W4" s="73"/>
    </row>
    <row r="5" spans="1:25">
      <c r="A5" s="74" t="s">
        <v>176</v>
      </c>
      <c r="B5" s="401"/>
      <c r="C5" s="402"/>
      <c r="D5" s="404"/>
      <c r="E5" s="404"/>
      <c r="F5" s="404"/>
      <c r="G5" s="404"/>
      <c r="H5" s="404"/>
      <c r="I5" s="404"/>
      <c r="J5" s="404"/>
      <c r="K5" s="404"/>
      <c r="L5" s="404"/>
      <c r="M5" s="404"/>
      <c r="N5" s="404"/>
      <c r="O5" s="404"/>
      <c r="P5" s="404"/>
      <c r="Q5" s="404"/>
      <c r="R5" s="404"/>
      <c r="S5" s="405"/>
      <c r="T5" s="73"/>
      <c r="U5" s="73"/>
      <c r="V5" s="73"/>
      <c r="W5" s="73"/>
    </row>
    <row r="6" spans="1:25">
      <c r="A6" s="75" t="s">
        <v>177</v>
      </c>
      <c r="B6" s="76"/>
      <c r="C6" s="76"/>
      <c r="D6" s="77"/>
      <c r="E6" s="78"/>
      <c r="F6" s="78"/>
      <c r="G6" s="78"/>
      <c r="H6" s="78"/>
      <c r="I6" s="78"/>
      <c r="J6" s="78"/>
      <c r="K6" s="78"/>
      <c r="L6" s="78"/>
      <c r="M6" s="78"/>
      <c r="N6" s="78"/>
      <c r="O6" s="78"/>
      <c r="P6" s="78"/>
      <c r="Q6" s="78"/>
      <c r="R6" s="78"/>
      <c r="S6" s="79"/>
      <c r="T6" s="73"/>
      <c r="U6" s="73"/>
      <c r="V6" s="73"/>
      <c r="W6" s="73"/>
    </row>
    <row r="7" spans="1:25">
      <c r="A7" s="341"/>
      <c r="B7" s="344" t="s">
        <v>178</v>
      </c>
      <c r="C7" s="345" t="s">
        <v>179</v>
      </c>
      <c r="D7" s="346" t="s">
        <v>789</v>
      </c>
    </row>
    <row r="8" spans="1:25">
      <c r="A8" s="342" t="s">
        <v>751</v>
      </c>
      <c r="B8" s="347" t="s">
        <v>180</v>
      </c>
      <c r="C8" s="348" t="str">
        <f>[1]MLIST!$D$29</f>
        <v>Advanced Rooftop Controller-Retro</v>
      </c>
      <c r="D8" s="349" t="str">
        <f>[2]!switch_ForecastState</f>
        <v>Region</v>
      </c>
      <c r="E8" s="81"/>
      <c r="F8" s="106"/>
    </row>
    <row r="9" spans="1:25">
      <c r="A9" s="342" t="str">
        <f>INDEX([1]ACHIEV!$A$19:$B$100,MATCH(C8,[1]ACHIEV!$B$19:$B$100,0),1)</f>
        <v>HVAC</v>
      </c>
      <c r="B9" s="350" t="s">
        <v>181</v>
      </c>
      <c r="C9" s="348">
        <f>[1]FILES!$H$4</f>
        <v>2035</v>
      </c>
      <c r="D9" s="349" t="str">
        <f>[2]!switch_ForecastScenario</f>
        <v>Base</v>
      </c>
      <c r="E9" s="82"/>
    </row>
    <row r="10" spans="1:25">
      <c r="A10" s="343"/>
      <c r="B10" s="351" t="s">
        <v>182</v>
      </c>
      <c r="C10" s="352">
        <f>MIN(SUM(E80:X80),Y80)</f>
        <v>119.37282587197582</v>
      </c>
      <c r="D10" s="397"/>
      <c r="E10" s="71">
        <v>1</v>
      </c>
      <c r="F10" s="71">
        <f>E10+1</f>
        <v>2</v>
      </c>
      <c r="G10" s="71">
        <f t="shared" ref="G10:X11" si="0">F10+1</f>
        <v>3</v>
      </c>
      <c r="H10" s="71">
        <f t="shared" si="0"/>
        <v>4</v>
      </c>
      <c r="I10" s="71">
        <f t="shared" si="0"/>
        <v>5</v>
      </c>
      <c r="J10" s="71">
        <f t="shared" si="0"/>
        <v>6</v>
      </c>
      <c r="K10" s="71">
        <f t="shared" si="0"/>
        <v>7</v>
      </c>
      <c r="L10" s="71">
        <f t="shared" si="0"/>
        <v>8</v>
      </c>
      <c r="M10" s="71">
        <f t="shared" si="0"/>
        <v>9</v>
      </c>
      <c r="N10" s="71">
        <f t="shared" si="0"/>
        <v>10</v>
      </c>
      <c r="O10" s="71">
        <f t="shared" si="0"/>
        <v>11</v>
      </c>
      <c r="P10" s="71">
        <f t="shared" si="0"/>
        <v>12</v>
      </c>
      <c r="Q10" s="71">
        <f t="shared" si="0"/>
        <v>13</v>
      </c>
      <c r="R10" s="71">
        <f t="shared" si="0"/>
        <v>14</v>
      </c>
      <c r="S10" s="71">
        <f t="shared" si="0"/>
        <v>15</v>
      </c>
      <c r="T10" s="71">
        <f t="shared" si="0"/>
        <v>16</v>
      </c>
      <c r="U10" s="71">
        <f t="shared" si="0"/>
        <v>17</v>
      </c>
      <c r="V10" s="71">
        <f t="shared" si="0"/>
        <v>18</v>
      </c>
      <c r="W10" s="71">
        <f t="shared" si="0"/>
        <v>19</v>
      </c>
      <c r="X10" s="71">
        <f t="shared" si="0"/>
        <v>20</v>
      </c>
    </row>
    <row r="11" spans="1:25">
      <c r="A11" s="80" t="s">
        <v>183</v>
      </c>
      <c r="B11" s="80"/>
      <c r="C11" s="80"/>
      <c r="D11" s="80"/>
      <c r="E11" s="80">
        <f>C9-20+1</f>
        <v>2016</v>
      </c>
      <c r="F11" s="80">
        <f>E11+1</f>
        <v>2017</v>
      </c>
      <c r="G11" s="80">
        <f t="shared" si="0"/>
        <v>2018</v>
      </c>
      <c r="H11" s="80">
        <f t="shared" si="0"/>
        <v>2019</v>
      </c>
      <c r="I11" s="80">
        <f t="shared" si="0"/>
        <v>2020</v>
      </c>
      <c r="J11" s="80">
        <f t="shared" si="0"/>
        <v>2021</v>
      </c>
      <c r="K11" s="80">
        <f t="shared" si="0"/>
        <v>2022</v>
      </c>
      <c r="L11" s="80">
        <f t="shared" si="0"/>
        <v>2023</v>
      </c>
      <c r="M11" s="80">
        <f t="shared" si="0"/>
        <v>2024</v>
      </c>
      <c r="N11" s="80">
        <f t="shared" si="0"/>
        <v>2025</v>
      </c>
      <c r="O11" s="80">
        <f t="shared" si="0"/>
        <v>2026</v>
      </c>
      <c r="P11" s="80">
        <f t="shared" si="0"/>
        <v>2027</v>
      </c>
      <c r="Q11" s="80">
        <f t="shared" si="0"/>
        <v>2028</v>
      </c>
      <c r="R11" s="80">
        <f t="shared" si="0"/>
        <v>2029</v>
      </c>
      <c r="S11" s="80">
        <f t="shared" si="0"/>
        <v>2030</v>
      </c>
      <c r="T11" s="80">
        <f t="shared" si="0"/>
        <v>2031</v>
      </c>
      <c r="U11" s="80">
        <f t="shared" si="0"/>
        <v>2032</v>
      </c>
      <c r="V11" s="80">
        <f t="shared" si="0"/>
        <v>2033</v>
      </c>
      <c r="W11" s="80">
        <f t="shared" si="0"/>
        <v>2034</v>
      </c>
      <c r="X11" s="80">
        <f t="shared" si="0"/>
        <v>2035</v>
      </c>
    </row>
    <row r="12" spans="1:25">
      <c r="A12" s="80"/>
      <c r="B12" s="80"/>
      <c r="C12" s="80"/>
      <c r="D12" s="80"/>
      <c r="E12" s="80" t="str">
        <f>CONCATENATE("FLOOR_",E11)</f>
        <v>FLOOR_2016</v>
      </c>
      <c r="F12" s="80" t="str">
        <f t="shared" ref="F12:X12" si="1">CONCATENATE("FLOOR_",F11)</f>
        <v>FLOOR_2017</v>
      </c>
      <c r="G12" s="80" t="str">
        <f t="shared" si="1"/>
        <v>FLOOR_2018</v>
      </c>
      <c r="H12" s="80" t="str">
        <f t="shared" si="1"/>
        <v>FLOOR_2019</v>
      </c>
      <c r="I12" s="80" t="str">
        <f t="shared" si="1"/>
        <v>FLOOR_2020</v>
      </c>
      <c r="J12" s="80" t="str">
        <f t="shared" si="1"/>
        <v>FLOOR_2021</v>
      </c>
      <c r="K12" s="80" t="str">
        <f t="shared" si="1"/>
        <v>FLOOR_2022</v>
      </c>
      <c r="L12" s="80" t="str">
        <f t="shared" si="1"/>
        <v>FLOOR_2023</v>
      </c>
      <c r="M12" s="80" t="str">
        <f t="shared" si="1"/>
        <v>FLOOR_2024</v>
      </c>
      <c r="N12" s="80" t="str">
        <f t="shared" si="1"/>
        <v>FLOOR_2025</v>
      </c>
      <c r="O12" s="80" t="str">
        <f t="shared" si="1"/>
        <v>FLOOR_2026</v>
      </c>
      <c r="P12" s="80" t="str">
        <f t="shared" si="1"/>
        <v>FLOOR_2027</v>
      </c>
      <c r="Q12" s="80" t="str">
        <f t="shared" si="1"/>
        <v>FLOOR_2028</v>
      </c>
      <c r="R12" s="80" t="str">
        <f t="shared" si="1"/>
        <v>FLOOR_2029</v>
      </c>
      <c r="S12" s="80" t="str">
        <f t="shared" si="1"/>
        <v>FLOOR_2030</v>
      </c>
      <c r="T12" s="80" t="str">
        <f t="shared" si="1"/>
        <v>FLOOR_2031</v>
      </c>
      <c r="U12" s="80" t="str">
        <f t="shared" si="1"/>
        <v>FLOOR_2032</v>
      </c>
      <c r="V12" s="80" t="str">
        <f t="shared" si="1"/>
        <v>FLOOR_2033</v>
      </c>
      <c r="W12" s="80" t="str">
        <f t="shared" si="1"/>
        <v>FLOOR_2034</v>
      </c>
      <c r="X12" s="80" t="str">
        <f t="shared" si="1"/>
        <v>FLOOR_2035</v>
      </c>
    </row>
    <row r="13" spans="1:25">
      <c r="C13" s="71" t="s">
        <v>293</v>
      </c>
      <c r="E13" s="81">
        <f>INDEX([2]!tbl_Forecast,MATCH($D$8&amp;$C13&amp;$D$7,[2]!rng_ForecastRowLookup,0),MATCH(E$11,[2]!rng_ForecastColumnLookup,0))</f>
        <v>380.08828477966154</v>
      </c>
      <c r="F13" s="81">
        <f>INDEX([2]!tbl_Forecast,MATCH($D$8&amp;$C13&amp;$D$7,[2]!rng_ForecastRowLookup,0),MATCH(F$11,[2]!rng_ForecastColumnLookup,0))</f>
        <v>378.94801992532251</v>
      </c>
      <c r="G13" s="81">
        <f>INDEX([2]!tbl_Forecast,MATCH($D$8&amp;$C13&amp;$D$7,[2]!rng_ForecastRowLookup,0),MATCH(G$11,[2]!rng_ForecastColumnLookup,0))</f>
        <v>377.81117586554655</v>
      </c>
      <c r="H13" s="81">
        <f>INDEX([2]!tbl_Forecast,MATCH($D$8&amp;$C13&amp;$D$7,[2]!rng_ForecastRowLookup,0),MATCH(H$11,[2]!rng_ForecastColumnLookup,0))</f>
        <v>376.67774233794995</v>
      </c>
      <c r="I13" s="81">
        <f>INDEX([2]!tbl_Forecast,MATCH($D$8&amp;$C13&amp;$D$7,[2]!rng_ForecastRowLookup,0),MATCH(I$11,[2]!rng_ForecastColumnLookup,0))</f>
        <v>375.54770911093607</v>
      </c>
      <c r="J13" s="81">
        <f>INDEX([2]!tbl_Forecast,MATCH($D$8&amp;$C13&amp;$D$7,[2]!rng_ForecastRowLookup,0),MATCH(J$11,[2]!rng_ForecastColumnLookup,0))</f>
        <v>374.42106598360328</v>
      </c>
      <c r="K13" s="81">
        <f>INDEX([2]!tbl_Forecast,MATCH($D$8&amp;$C13&amp;$D$7,[2]!rng_ForecastRowLookup,0),MATCH(K$11,[2]!rng_ForecastColumnLookup,0))</f>
        <v>373.29780278565244</v>
      </c>
      <c r="L13" s="81">
        <f>INDEX([2]!tbl_Forecast,MATCH($D$8&amp;$C13&amp;$D$7,[2]!rng_ForecastRowLookup,0),MATCH(L$11,[2]!rng_ForecastColumnLookup,0))</f>
        <v>372.17790937729552</v>
      </c>
      <c r="M13" s="81">
        <f>INDEX([2]!tbl_Forecast,MATCH($D$8&amp;$C13&amp;$D$7,[2]!rng_ForecastRowLookup,0),MATCH(M$11,[2]!rng_ForecastColumnLookup,0))</f>
        <v>371.06137564916361</v>
      </c>
      <c r="N13" s="81">
        <f>INDEX([2]!tbl_Forecast,MATCH($D$8&amp;$C13&amp;$D$7,[2]!rng_ForecastRowLookup,0),MATCH(N$11,[2]!rng_ForecastColumnLookup,0))</f>
        <v>369.94819152221612</v>
      </c>
      <c r="O13" s="81">
        <f>INDEX([2]!tbl_Forecast,MATCH($D$8&amp;$C13&amp;$D$7,[2]!rng_ForecastRowLookup,0),MATCH(O$11,[2]!rng_ForecastColumnLookup,0))</f>
        <v>368.83834694764948</v>
      </c>
      <c r="P13" s="81">
        <f>INDEX([2]!tbl_Forecast,MATCH($D$8&amp;$C13&amp;$D$7,[2]!rng_ForecastRowLookup,0),MATCH(P$11,[2]!rng_ForecastColumnLookup,0))</f>
        <v>367.73183190680658</v>
      </c>
      <c r="Q13" s="81">
        <f>INDEX([2]!tbl_Forecast,MATCH($D$8&amp;$C13&amp;$D$7,[2]!rng_ForecastRowLookup,0),MATCH(Q$11,[2]!rng_ForecastColumnLookup,0))</f>
        <v>366.62863641108612</v>
      </c>
      <c r="R13" s="81">
        <f>INDEX([2]!tbl_Forecast,MATCH($D$8&amp;$C13&amp;$D$7,[2]!rng_ForecastRowLookup,0),MATCH(R$11,[2]!rng_ForecastColumnLookup,0))</f>
        <v>365.52875050185287</v>
      </c>
      <c r="S13" s="81">
        <f>INDEX([2]!tbl_Forecast,MATCH($D$8&amp;$C13&amp;$D$7,[2]!rng_ForecastRowLookup,0),MATCH(S$11,[2]!rng_ForecastColumnLookup,0))</f>
        <v>364.43216425034728</v>
      </c>
      <c r="T13" s="81">
        <f>INDEX([2]!tbl_Forecast,MATCH($D$8&amp;$C13&amp;$D$7,[2]!rng_ForecastRowLookup,0),MATCH(T$11,[2]!rng_ForecastColumnLookup,0))</f>
        <v>363.33886775759629</v>
      </c>
      <c r="U13" s="81">
        <f>INDEX([2]!tbl_Forecast,MATCH($D$8&amp;$C13&amp;$D$7,[2]!rng_ForecastRowLookup,0),MATCH(U$11,[2]!rng_ForecastColumnLookup,0))</f>
        <v>362.24885115432346</v>
      </c>
      <c r="V13" s="81">
        <f>INDEX([2]!tbl_Forecast,MATCH($D$8&amp;$C13&amp;$D$7,[2]!rng_ForecastRowLookup,0),MATCH(V$11,[2]!rng_ForecastColumnLookup,0))</f>
        <v>361.16210460086046</v>
      </c>
      <c r="W13" s="81">
        <f>INDEX([2]!tbl_Forecast,MATCH($D$8&amp;$C13&amp;$D$7,[2]!rng_ForecastRowLookup,0),MATCH(W$11,[2]!rng_ForecastColumnLookup,0))</f>
        <v>360.07861828705791</v>
      </c>
      <c r="X13" s="81">
        <f>INDEX([2]!tbl_Forecast,MATCH($D$8&amp;$C13&amp;$D$7,[2]!rng_ForecastRowLookup,0),MATCH(X$11,[2]!rng_ForecastColumnLookup,0))</f>
        <v>358.99838243219671</v>
      </c>
      <c r="Y13" s="84"/>
    </row>
    <row r="14" spans="1:25">
      <c r="C14" s="71" t="s">
        <v>294</v>
      </c>
      <c r="E14" s="81">
        <f>INDEX([2]!tbl_Forecast,MATCH($D$8&amp;$C14&amp;$D$7,[2]!rng_ForecastRowLookup,0),MATCH(E$11,[2]!rng_ForecastColumnLookup,0))</f>
        <v>190.73687138333023</v>
      </c>
      <c r="F14" s="81">
        <f>INDEX([2]!tbl_Forecast,MATCH($D$8&amp;$C14&amp;$D$7,[2]!rng_ForecastRowLookup,0),MATCH(F$11,[2]!rng_ForecastColumnLookup,0))</f>
        <v>190.16466076918024</v>
      </c>
      <c r="G14" s="81">
        <f>INDEX([2]!tbl_Forecast,MATCH($D$8&amp;$C14&amp;$D$7,[2]!rng_ForecastRowLookup,0),MATCH(G$11,[2]!rng_ForecastColumnLookup,0))</f>
        <v>189.59416678687271</v>
      </c>
      <c r="H14" s="81">
        <f>INDEX([2]!tbl_Forecast,MATCH($D$8&amp;$C14&amp;$D$7,[2]!rng_ForecastRowLookup,0),MATCH(H$11,[2]!rng_ForecastColumnLookup,0))</f>
        <v>189.02538428651209</v>
      </c>
      <c r="I14" s="81">
        <f>INDEX([2]!tbl_Forecast,MATCH($D$8&amp;$C14&amp;$D$7,[2]!rng_ForecastRowLookup,0),MATCH(I$11,[2]!rng_ForecastColumnLookup,0))</f>
        <v>188.45830813365254</v>
      </c>
      <c r="J14" s="81">
        <f>INDEX([2]!tbl_Forecast,MATCH($D$8&amp;$C14&amp;$D$7,[2]!rng_ForecastRowLookup,0),MATCH(J$11,[2]!rng_ForecastColumnLookup,0))</f>
        <v>187.89293320925157</v>
      </c>
      <c r="K14" s="81">
        <f>INDEX([2]!tbl_Forecast,MATCH($D$8&amp;$C14&amp;$D$7,[2]!rng_ForecastRowLookup,0),MATCH(K$11,[2]!rng_ForecastColumnLookup,0))</f>
        <v>187.32925440962381</v>
      </c>
      <c r="L14" s="81">
        <f>INDEX([2]!tbl_Forecast,MATCH($D$8&amp;$C14&amp;$D$7,[2]!rng_ForecastRowLookup,0),MATCH(L$11,[2]!rng_ForecastColumnLookup,0))</f>
        <v>186.76726664639497</v>
      </c>
      <c r="M14" s="81">
        <f>INDEX([2]!tbl_Forecast,MATCH($D$8&amp;$C14&amp;$D$7,[2]!rng_ForecastRowLookup,0),MATCH(M$11,[2]!rng_ForecastColumnLookup,0))</f>
        <v>186.20696484645578</v>
      </c>
      <c r="N14" s="81">
        <f>INDEX([2]!tbl_Forecast,MATCH($D$8&amp;$C14&amp;$D$7,[2]!rng_ForecastRowLookup,0),MATCH(N$11,[2]!rng_ForecastColumnLookup,0))</f>
        <v>185.64834395191642</v>
      </c>
      <c r="O14" s="81">
        <f>INDEX([2]!tbl_Forecast,MATCH($D$8&amp;$C14&amp;$D$7,[2]!rng_ForecastRowLookup,0),MATCH(O$11,[2]!rng_ForecastColumnLookup,0))</f>
        <v>185.09139892006067</v>
      </c>
      <c r="P14" s="81">
        <f>INDEX([2]!tbl_Forecast,MATCH($D$8&amp;$C14&amp;$D$7,[2]!rng_ForecastRowLookup,0),MATCH(P$11,[2]!rng_ForecastColumnLookup,0))</f>
        <v>184.5361247233005</v>
      </c>
      <c r="Q14" s="81">
        <f>INDEX([2]!tbl_Forecast,MATCH($D$8&amp;$C14&amp;$D$7,[2]!rng_ForecastRowLookup,0),MATCH(Q$11,[2]!rng_ForecastColumnLookup,0))</f>
        <v>183.98251634913058</v>
      </c>
      <c r="R14" s="81">
        <f>INDEX([2]!tbl_Forecast,MATCH($D$8&amp;$C14&amp;$D$7,[2]!rng_ForecastRowLookup,0),MATCH(R$11,[2]!rng_ForecastColumnLookup,0))</f>
        <v>183.43056880008319</v>
      </c>
      <c r="S14" s="81">
        <f>INDEX([2]!tbl_Forecast,MATCH($D$8&amp;$C14&amp;$D$7,[2]!rng_ForecastRowLookup,0),MATCH(S$11,[2]!rng_ForecastColumnLookup,0))</f>
        <v>182.88027709368296</v>
      </c>
      <c r="T14" s="81">
        <f>INDEX([2]!tbl_Forecast,MATCH($D$8&amp;$C14&amp;$D$7,[2]!rng_ForecastRowLookup,0),MATCH(T$11,[2]!rng_ForecastColumnLookup,0))</f>
        <v>182.33163626240187</v>
      </c>
      <c r="U14" s="81">
        <f>INDEX([2]!tbl_Forecast,MATCH($D$8&amp;$C14&amp;$D$7,[2]!rng_ForecastRowLookup,0),MATCH(U$11,[2]!rng_ForecastColumnLookup,0))</f>
        <v>181.78464135361469</v>
      </c>
      <c r="V14" s="81">
        <f>INDEX([2]!tbl_Forecast,MATCH($D$8&amp;$C14&amp;$D$7,[2]!rng_ForecastRowLookup,0),MATCH(V$11,[2]!rng_ForecastColumnLookup,0))</f>
        <v>181.23928742955383</v>
      </c>
      <c r="W14" s="81">
        <f>INDEX([2]!tbl_Forecast,MATCH($D$8&amp;$C14&amp;$D$7,[2]!rng_ForecastRowLookup,0),MATCH(W$11,[2]!rng_ForecastColumnLookup,0))</f>
        <v>180.69556956726515</v>
      </c>
      <c r="X14" s="81">
        <f>INDEX([2]!tbl_Forecast,MATCH($D$8&amp;$C14&amp;$D$7,[2]!rng_ForecastRowLookup,0),MATCH(X$11,[2]!rng_ForecastColumnLookup,0))</f>
        <v>180.15348285856339</v>
      </c>
      <c r="Y14" s="84"/>
    </row>
    <row r="15" spans="1:25">
      <c r="C15" s="71" t="s">
        <v>295</v>
      </c>
      <c r="E15" s="81">
        <f>INDEX([2]!tbl_Forecast,MATCH($D$8&amp;$C15&amp;$D$7,[2]!rng_ForecastRowLookup,0),MATCH(E$11,[2]!rng_ForecastColumnLookup,0))</f>
        <v>184.0913556049378</v>
      </c>
      <c r="F15" s="81">
        <f>INDEX([2]!tbl_Forecast,MATCH($D$8&amp;$C15&amp;$D$7,[2]!rng_ForecastRowLookup,0),MATCH(F$11,[2]!rng_ForecastColumnLookup,0))</f>
        <v>183.53908153812301</v>
      </c>
      <c r="G15" s="81">
        <f>INDEX([2]!tbl_Forecast,MATCH($D$8&amp;$C15&amp;$D$7,[2]!rng_ForecastRowLookup,0),MATCH(G$11,[2]!rng_ForecastColumnLookup,0))</f>
        <v>182.98846429350866</v>
      </c>
      <c r="H15" s="81">
        <f>INDEX([2]!tbl_Forecast,MATCH($D$8&amp;$C15&amp;$D$7,[2]!rng_ForecastRowLookup,0),MATCH(H$11,[2]!rng_ForecastColumnLookup,0))</f>
        <v>182.43949890062811</v>
      </c>
      <c r="I15" s="81">
        <f>INDEX([2]!tbl_Forecast,MATCH($D$8&amp;$C15&amp;$D$7,[2]!rng_ForecastRowLookup,0),MATCH(I$11,[2]!rng_ForecastColumnLookup,0))</f>
        <v>181.89218040392623</v>
      </c>
      <c r="J15" s="81">
        <f>INDEX([2]!tbl_Forecast,MATCH($D$8&amp;$C15&amp;$D$7,[2]!rng_ForecastRowLookup,0),MATCH(J$11,[2]!rng_ForecastColumnLookup,0))</f>
        <v>181.34650386271446</v>
      </c>
      <c r="K15" s="81">
        <f>INDEX([2]!tbl_Forecast,MATCH($D$8&amp;$C15&amp;$D$7,[2]!rng_ForecastRowLookup,0),MATCH(K$11,[2]!rng_ForecastColumnLookup,0))</f>
        <v>180.80246435112633</v>
      </c>
      <c r="L15" s="81">
        <f>INDEX([2]!tbl_Forecast,MATCH($D$8&amp;$C15&amp;$D$7,[2]!rng_ForecastRowLookup,0),MATCH(L$11,[2]!rng_ForecastColumnLookup,0))</f>
        <v>180.26005695807294</v>
      </c>
      <c r="M15" s="81">
        <f>INDEX([2]!tbl_Forecast,MATCH($D$8&amp;$C15&amp;$D$7,[2]!rng_ForecastRowLookup,0),MATCH(M$11,[2]!rng_ForecastColumnLookup,0))</f>
        <v>179.71927678719871</v>
      </c>
      <c r="N15" s="81">
        <f>INDEX([2]!tbl_Forecast,MATCH($D$8&amp;$C15&amp;$D$7,[2]!rng_ForecastRowLookup,0),MATCH(N$11,[2]!rng_ForecastColumnLookup,0))</f>
        <v>179.18011895683713</v>
      </c>
      <c r="O15" s="81">
        <f>INDEX([2]!tbl_Forecast,MATCH($D$8&amp;$C15&amp;$D$7,[2]!rng_ForecastRowLookup,0),MATCH(O$11,[2]!rng_ForecastColumnLookup,0))</f>
        <v>178.64257859996661</v>
      </c>
      <c r="P15" s="81">
        <f>INDEX([2]!tbl_Forecast,MATCH($D$8&amp;$C15&amp;$D$7,[2]!rng_ForecastRowLookup,0),MATCH(P$11,[2]!rng_ForecastColumnLookup,0))</f>
        <v>178.10665086416668</v>
      </c>
      <c r="Q15" s="81">
        <f>INDEX([2]!tbl_Forecast,MATCH($D$8&amp;$C15&amp;$D$7,[2]!rng_ForecastRowLookup,0),MATCH(Q$11,[2]!rng_ForecastColumnLookup,0))</f>
        <v>177.57233091157423</v>
      </c>
      <c r="R15" s="81">
        <f>INDEX([2]!tbl_Forecast,MATCH($D$8&amp;$C15&amp;$D$7,[2]!rng_ForecastRowLookup,0),MATCH(R$11,[2]!rng_ForecastColumnLookup,0))</f>
        <v>177.03961391883951</v>
      </c>
      <c r="S15" s="81">
        <f>INDEX([2]!tbl_Forecast,MATCH($D$8&amp;$C15&amp;$D$7,[2]!rng_ForecastRowLookup,0),MATCH(S$11,[2]!rng_ForecastColumnLookup,0))</f>
        <v>176.50849507708296</v>
      </c>
      <c r="T15" s="81">
        <f>INDEX([2]!tbl_Forecast,MATCH($D$8&amp;$C15&amp;$D$7,[2]!rng_ForecastRowLookup,0),MATCH(T$11,[2]!rng_ForecastColumnLookup,0))</f>
        <v>175.97896959185172</v>
      </c>
      <c r="U15" s="81">
        <f>INDEX([2]!tbl_Forecast,MATCH($D$8&amp;$C15&amp;$D$7,[2]!rng_ForecastRowLookup,0),MATCH(U$11,[2]!rng_ForecastColumnLookup,0))</f>
        <v>175.45103268307616</v>
      </c>
      <c r="V15" s="81">
        <f>INDEX([2]!tbl_Forecast,MATCH($D$8&amp;$C15&amp;$D$7,[2]!rng_ForecastRowLookup,0),MATCH(V$11,[2]!rng_ForecastColumnLookup,0))</f>
        <v>174.92467958502692</v>
      </c>
      <c r="W15" s="81">
        <f>INDEX([2]!tbl_Forecast,MATCH($D$8&amp;$C15&amp;$D$7,[2]!rng_ForecastRowLookup,0),MATCH(W$11,[2]!rng_ForecastColumnLookup,0))</f>
        <v>174.39990554627184</v>
      </c>
      <c r="X15" s="81">
        <f>INDEX([2]!tbl_Forecast,MATCH($D$8&amp;$C15&amp;$D$7,[2]!rng_ForecastRowLookup,0),MATCH(X$11,[2]!rng_ForecastColumnLookup,0))</f>
        <v>173.87670582963304</v>
      </c>
      <c r="Y15" s="84"/>
    </row>
    <row r="16" spans="1:25">
      <c r="C16" s="106" t="s">
        <v>333</v>
      </c>
      <c r="E16" s="81">
        <f>INDEX([2]!tbl_Forecast,MATCH($D$8&amp;$C16&amp;$D$7,[2]!rng_ForecastRowLookup,0),MATCH(E$11,[2]!rng_ForecastColumnLookup,0))</f>
        <v>138.35734062238015</v>
      </c>
      <c r="F16" s="81">
        <f>INDEX([2]!tbl_Forecast,MATCH($D$8&amp;$C16&amp;$D$7,[2]!rng_ForecastRowLookup,0),MATCH(F$11,[2]!rng_ForecastColumnLookup,0))</f>
        <v>137.7208968555172</v>
      </c>
      <c r="G16" s="81">
        <f>INDEX([2]!tbl_Forecast,MATCH($D$8&amp;$C16&amp;$D$7,[2]!rng_ForecastRowLookup,0),MATCH(G$11,[2]!rng_ForecastColumnLookup,0))</f>
        <v>137.08738072998179</v>
      </c>
      <c r="H16" s="81">
        <f>INDEX([2]!tbl_Forecast,MATCH($D$8&amp;$C16&amp;$D$7,[2]!rng_ForecastRowLookup,0),MATCH(H$11,[2]!rng_ForecastColumnLookup,0))</f>
        <v>136.45677877862389</v>
      </c>
      <c r="I16" s="81">
        <f>INDEX([2]!tbl_Forecast,MATCH($D$8&amp;$C16&amp;$D$7,[2]!rng_ForecastRowLookup,0),MATCH(I$11,[2]!rng_ForecastColumnLookup,0))</f>
        <v>135.8290775962422</v>
      </c>
      <c r="J16" s="81">
        <f>INDEX([2]!tbl_Forecast,MATCH($D$8&amp;$C16&amp;$D$7,[2]!rng_ForecastRowLookup,0),MATCH(J$11,[2]!rng_ForecastColumnLookup,0))</f>
        <v>135.20426383929947</v>
      </c>
      <c r="K16" s="81">
        <f>INDEX([2]!tbl_Forecast,MATCH($D$8&amp;$C16&amp;$D$7,[2]!rng_ForecastRowLookup,0),MATCH(K$11,[2]!rng_ForecastColumnLookup,0))</f>
        <v>134.5823242256387</v>
      </c>
      <c r="L16" s="81">
        <f>INDEX([2]!tbl_Forecast,MATCH($D$8&amp;$C16&amp;$D$7,[2]!rng_ForecastRowLookup,0),MATCH(L$11,[2]!rng_ForecastColumnLookup,0))</f>
        <v>133.96324553420075</v>
      </c>
      <c r="M16" s="81">
        <f>INDEX([2]!tbl_Forecast,MATCH($D$8&amp;$C16&amp;$D$7,[2]!rng_ForecastRowLookup,0),MATCH(M$11,[2]!rng_ForecastColumnLookup,0))</f>
        <v>133.34701460474344</v>
      </c>
      <c r="N16" s="81">
        <f>INDEX([2]!tbl_Forecast,MATCH($D$8&amp;$C16&amp;$D$7,[2]!rng_ForecastRowLookup,0),MATCH(N$11,[2]!rng_ForecastColumnLookup,0))</f>
        <v>132.73361833756161</v>
      </c>
      <c r="O16" s="81">
        <f>INDEX([2]!tbl_Forecast,MATCH($D$8&amp;$C16&amp;$D$7,[2]!rng_ForecastRowLookup,0),MATCH(O$11,[2]!rng_ForecastColumnLookup,0))</f>
        <v>132.12304369320884</v>
      </c>
      <c r="P16" s="81">
        <f>INDEX([2]!tbl_Forecast,MATCH($D$8&amp;$C16&amp;$D$7,[2]!rng_ForecastRowLookup,0),MATCH(P$11,[2]!rng_ForecastColumnLookup,0))</f>
        <v>131.51527769222005</v>
      </c>
      <c r="Q16" s="81">
        <f>INDEX([2]!tbl_Forecast,MATCH($D$8&amp;$C16&amp;$D$7,[2]!rng_ForecastRowLookup,0),MATCH(Q$11,[2]!rng_ForecastColumnLookup,0))</f>
        <v>130.91030741483584</v>
      </c>
      <c r="R16" s="81">
        <f>INDEX([2]!tbl_Forecast,MATCH($D$8&amp;$C16&amp;$D$7,[2]!rng_ForecastRowLookup,0),MATCH(R$11,[2]!rng_ForecastColumnLookup,0))</f>
        <v>130.3081200007276</v>
      </c>
      <c r="S16" s="81">
        <f>INDEX([2]!tbl_Forecast,MATCH($D$8&amp;$C16&amp;$D$7,[2]!rng_ForecastRowLookup,0),MATCH(S$11,[2]!rng_ForecastColumnLookup,0))</f>
        <v>129.70870264872423</v>
      </c>
      <c r="T16" s="81">
        <f>INDEX([2]!tbl_Forecast,MATCH($D$8&amp;$C16&amp;$D$7,[2]!rng_ForecastRowLookup,0),MATCH(T$11,[2]!rng_ForecastColumnLookup,0))</f>
        <v>129.11204261654012</v>
      </c>
      <c r="U16" s="81">
        <f>INDEX([2]!tbl_Forecast,MATCH($D$8&amp;$C16&amp;$D$7,[2]!rng_ForecastRowLookup,0),MATCH(U$11,[2]!rng_ForecastColumnLookup,0))</f>
        <v>128.51812722050403</v>
      </c>
      <c r="V16" s="81">
        <f>INDEX([2]!tbl_Forecast,MATCH($D$8&amp;$C16&amp;$D$7,[2]!rng_ForecastRowLookup,0),MATCH(V$11,[2]!rng_ForecastColumnLookup,0))</f>
        <v>127.92694383528971</v>
      </c>
      <c r="W16" s="81">
        <f>INDEX([2]!tbl_Forecast,MATCH($D$8&amp;$C16&amp;$D$7,[2]!rng_ForecastRowLookup,0),MATCH(W$11,[2]!rng_ForecastColumnLookup,0))</f>
        <v>127.33847989364737</v>
      </c>
      <c r="X16" s="81">
        <f>INDEX([2]!tbl_Forecast,MATCH($D$8&amp;$C16&amp;$D$7,[2]!rng_ForecastRowLookup,0),MATCH(X$11,[2]!rng_ForecastColumnLookup,0))</f>
        <v>126.75272288613657</v>
      </c>
      <c r="Y16" s="84"/>
    </row>
    <row r="17" spans="2:25">
      <c r="C17" s="106" t="s">
        <v>309</v>
      </c>
      <c r="E17" s="81">
        <f>INDEX([2]!tbl_Forecast,MATCH($D$8&amp;$C17&amp;$D$7,[2]!rng_ForecastRowLookup,0),MATCH(E$11,[2]!rng_ForecastColumnLookup,0))</f>
        <v>208.9574509880029</v>
      </c>
      <c r="F17" s="81">
        <f>INDEX([2]!tbl_Forecast,MATCH($D$8&amp;$C17&amp;$D$7,[2]!rng_ForecastRowLookup,0),MATCH(F$11,[2]!rng_ForecastColumnLookup,0))</f>
        <v>207.99624671345808</v>
      </c>
      <c r="G17" s="81">
        <f>INDEX([2]!tbl_Forecast,MATCH($D$8&amp;$C17&amp;$D$7,[2]!rng_ForecastRowLookup,0),MATCH(G$11,[2]!rng_ForecastColumnLookup,0))</f>
        <v>207.03946397857615</v>
      </c>
      <c r="H17" s="81">
        <f>INDEX([2]!tbl_Forecast,MATCH($D$8&amp;$C17&amp;$D$7,[2]!rng_ForecastRowLookup,0),MATCH(H$11,[2]!rng_ForecastColumnLookup,0))</f>
        <v>206.0870824442747</v>
      </c>
      <c r="I17" s="81">
        <f>INDEX([2]!tbl_Forecast,MATCH($D$8&amp;$C17&amp;$D$7,[2]!rng_ForecastRowLookup,0),MATCH(I$11,[2]!rng_ForecastColumnLookup,0))</f>
        <v>205.13908186503102</v>
      </c>
      <c r="J17" s="81">
        <f>INDEX([2]!tbl_Forecast,MATCH($D$8&amp;$C17&amp;$D$7,[2]!rng_ForecastRowLookup,0),MATCH(J$11,[2]!rng_ForecastColumnLookup,0))</f>
        <v>204.1954420884519</v>
      </c>
      <c r="K17" s="81">
        <f>INDEX([2]!tbl_Forecast,MATCH($D$8&amp;$C17&amp;$D$7,[2]!rng_ForecastRowLookup,0),MATCH(K$11,[2]!rng_ForecastColumnLookup,0))</f>
        <v>203.25614305484498</v>
      </c>
      <c r="L17" s="81">
        <f>INDEX([2]!tbl_Forecast,MATCH($D$8&amp;$C17&amp;$D$7,[2]!rng_ForecastRowLookup,0),MATCH(L$11,[2]!rng_ForecastColumnLookup,0))</f>
        <v>202.32116479679266</v>
      </c>
      <c r="M17" s="81">
        <f>INDEX([2]!tbl_Forecast,MATCH($D$8&amp;$C17&amp;$D$7,[2]!rng_ForecastRowLookup,0),MATCH(M$11,[2]!rng_ForecastColumnLookup,0))</f>
        <v>201.3904874387274</v>
      </c>
      <c r="N17" s="81">
        <f>INDEX([2]!tbl_Forecast,MATCH($D$8&amp;$C17&amp;$D$7,[2]!rng_ForecastRowLookup,0),MATCH(N$11,[2]!rng_ForecastColumnLookup,0))</f>
        <v>200.46409119650929</v>
      </c>
      <c r="O17" s="81">
        <f>INDEX([2]!tbl_Forecast,MATCH($D$8&amp;$C17&amp;$D$7,[2]!rng_ForecastRowLookup,0),MATCH(O$11,[2]!rng_ForecastColumnLookup,0))</f>
        <v>199.54195637700533</v>
      </c>
      <c r="P17" s="81">
        <f>INDEX([2]!tbl_Forecast,MATCH($D$8&amp;$C17&amp;$D$7,[2]!rng_ForecastRowLookup,0),MATCH(P$11,[2]!rng_ForecastColumnLookup,0))</f>
        <v>198.62406337767112</v>
      </c>
      <c r="Q17" s="81">
        <f>INDEX([2]!tbl_Forecast,MATCH($D$8&amp;$C17&amp;$D$7,[2]!rng_ForecastRowLookup,0),MATCH(Q$11,[2]!rng_ForecastColumnLookup,0))</f>
        <v>197.71039268613379</v>
      </c>
      <c r="R17" s="81">
        <f>INDEX([2]!tbl_Forecast,MATCH($D$8&amp;$C17&amp;$D$7,[2]!rng_ForecastRowLookup,0),MATCH(R$11,[2]!rng_ForecastColumnLookup,0))</f>
        <v>196.8009248797776</v>
      </c>
      <c r="S17" s="81">
        <f>INDEX([2]!tbl_Forecast,MATCH($D$8&amp;$C17&amp;$D$7,[2]!rng_ForecastRowLookup,0),MATCH(S$11,[2]!rng_ForecastColumnLookup,0))</f>
        <v>195.8956406253306</v>
      </c>
      <c r="T17" s="81">
        <f>INDEX([2]!tbl_Forecast,MATCH($D$8&amp;$C17&amp;$D$7,[2]!rng_ForecastRowLookup,0),MATCH(T$11,[2]!rng_ForecastColumnLookup,0))</f>
        <v>194.99452067845405</v>
      </c>
      <c r="U17" s="81">
        <f>INDEX([2]!tbl_Forecast,MATCH($D$8&amp;$C17&amp;$D$7,[2]!rng_ForecastRowLookup,0),MATCH(U$11,[2]!rng_ForecastColumnLookup,0))</f>
        <v>194.09754588333314</v>
      </c>
      <c r="V17" s="81">
        <f>INDEX([2]!tbl_Forecast,MATCH($D$8&amp;$C17&amp;$D$7,[2]!rng_ForecastRowLookup,0),MATCH(V$11,[2]!rng_ForecastColumnLookup,0))</f>
        <v>193.20469717226982</v>
      </c>
      <c r="W17" s="81">
        <f>INDEX([2]!tbl_Forecast,MATCH($D$8&amp;$C17&amp;$D$7,[2]!rng_ForecastRowLookup,0),MATCH(W$11,[2]!rng_ForecastColumnLookup,0))</f>
        <v>192.31595556527733</v>
      </c>
      <c r="X17" s="81">
        <f>INDEX([2]!tbl_Forecast,MATCH($D$8&amp;$C17&amp;$D$7,[2]!rng_ForecastRowLookup,0),MATCH(X$11,[2]!rng_ForecastColumnLookup,0))</f>
        <v>191.43130216967708</v>
      </c>
      <c r="Y17" s="84"/>
    </row>
    <row r="18" spans="2:25">
      <c r="C18" s="106" t="s">
        <v>308</v>
      </c>
      <c r="E18" s="81">
        <f>INDEX([2]!tbl_Forecast,MATCH($D$8&amp;$C18&amp;$D$7,[2]!rng_ForecastRowLookup,0),MATCH(E$11,[2]!rng_ForecastColumnLookup,0))</f>
        <v>97.115689913224898</v>
      </c>
      <c r="F18" s="81">
        <f>INDEX([2]!tbl_Forecast,MATCH($D$8&amp;$C18&amp;$D$7,[2]!rng_ForecastRowLookup,0),MATCH(F$11,[2]!rng_ForecastColumnLookup,0))</f>
        <v>96.668957739624062</v>
      </c>
      <c r="G18" s="81">
        <f>INDEX([2]!tbl_Forecast,MATCH($D$8&amp;$C18&amp;$D$7,[2]!rng_ForecastRowLookup,0),MATCH(G$11,[2]!rng_ForecastColumnLookup,0))</f>
        <v>96.224280534021787</v>
      </c>
      <c r="H18" s="81">
        <f>INDEX([2]!tbl_Forecast,MATCH($D$8&amp;$C18&amp;$D$7,[2]!rng_ForecastRowLookup,0),MATCH(H$11,[2]!rng_ForecastColumnLookup,0))</f>
        <v>95.781648843565293</v>
      </c>
      <c r="I18" s="81">
        <f>INDEX([2]!tbl_Forecast,MATCH($D$8&amp;$C18&amp;$D$7,[2]!rng_ForecastRowLookup,0),MATCH(I$11,[2]!rng_ForecastColumnLookup,0))</f>
        <v>95.34105325888487</v>
      </c>
      <c r="J18" s="81">
        <f>INDEX([2]!tbl_Forecast,MATCH($D$8&amp;$C18&amp;$D$7,[2]!rng_ForecastRowLookup,0),MATCH(J$11,[2]!rng_ForecastColumnLookup,0))</f>
        <v>94.902484413894001</v>
      </c>
      <c r="K18" s="81">
        <f>INDEX([2]!tbl_Forecast,MATCH($D$8&amp;$C18&amp;$D$7,[2]!rng_ForecastRowLookup,0),MATCH(K$11,[2]!rng_ForecastColumnLookup,0))</f>
        <v>94.465932985590086</v>
      </c>
      <c r="L18" s="81">
        <f>INDEX([2]!tbl_Forecast,MATCH($D$8&amp;$C18&amp;$D$7,[2]!rng_ForecastRowLookup,0),MATCH(L$11,[2]!rng_ForecastColumnLookup,0))</f>
        <v>94.031389693856369</v>
      </c>
      <c r="M18" s="81">
        <f>INDEX([2]!tbl_Forecast,MATCH($D$8&amp;$C18&amp;$D$7,[2]!rng_ForecastRowLookup,0),MATCH(M$11,[2]!rng_ForecastColumnLookup,0))</f>
        <v>93.598845301264618</v>
      </c>
      <c r="N18" s="81">
        <f>INDEX([2]!tbl_Forecast,MATCH($D$8&amp;$C18&amp;$D$7,[2]!rng_ForecastRowLookup,0),MATCH(N$11,[2]!rng_ForecastColumnLookup,0))</f>
        <v>93.168290612878806</v>
      </c>
      <c r="O18" s="81">
        <f>INDEX([2]!tbl_Forecast,MATCH($D$8&amp;$C18&amp;$D$7,[2]!rng_ForecastRowLookup,0),MATCH(O$11,[2]!rng_ForecastColumnLookup,0))</f>
        <v>92.739716476059556</v>
      </c>
      <c r="P18" s="81">
        <f>INDEX([2]!tbl_Forecast,MATCH($D$8&amp;$C18&amp;$D$7,[2]!rng_ForecastRowLookup,0),MATCH(P$11,[2]!rng_ForecastColumnLookup,0))</f>
        <v>92.313113780269674</v>
      </c>
      <c r="Q18" s="81">
        <f>INDEX([2]!tbl_Forecast,MATCH($D$8&amp;$C18&amp;$D$7,[2]!rng_ForecastRowLookup,0),MATCH(Q$11,[2]!rng_ForecastColumnLookup,0))</f>
        <v>91.888473456880433</v>
      </c>
      <c r="R18" s="81">
        <f>INDEX([2]!tbl_Forecast,MATCH($D$8&amp;$C18&amp;$D$7,[2]!rng_ForecastRowLookup,0),MATCH(R$11,[2]!rng_ForecastColumnLookup,0))</f>
        <v>91.465786478978771</v>
      </c>
      <c r="S18" s="81">
        <f>INDEX([2]!tbl_Forecast,MATCH($D$8&amp;$C18&amp;$D$7,[2]!rng_ForecastRowLookup,0),MATCH(S$11,[2]!rng_ForecastColumnLookup,0))</f>
        <v>91.045043861175472</v>
      </c>
      <c r="T18" s="81">
        <f>INDEX([2]!tbl_Forecast,MATCH($D$8&amp;$C18&amp;$D$7,[2]!rng_ForecastRowLookup,0),MATCH(T$11,[2]!rng_ForecastColumnLookup,0))</f>
        <v>90.626236659414062</v>
      </c>
      <c r="U18" s="81">
        <f>INDEX([2]!tbl_Forecast,MATCH($D$8&amp;$C18&amp;$D$7,[2]!rng_ForecastRowLookup,0),MATCH(U$11,[2]!rng_ForecastColumnLookup,0))</f>
        <v>90.209355970780734</v>
      </c>
      <c r="V18" s="81">
        <f>INDEX([2]!tbl_Forecast,MATCH($D$8&amp;$C18&amp;$D$7,[2]!rng_ForecastRowLookup,0),MATCH(V$11,[2]!rng_ForecastColumnLookup,0))</f>
        <v>89.794392933315152</v>
      </c>
      <c r="W18" s="81">
        <f>INDEX([2]!tbl_Forecast,MATCH($D$8&amp;$C18&amp;$D$7,[2]!rng_ForecastRowLookup,0),MATCH(W$11,[2]!rng_ForecastColumnLookup,0))</f>
        <v>89.381338725821905</v>
      </c>
      <c r="X18" s="81">
        <f>INDEX([2]!tbl_Forecast,MATCH($D$8&amp;$C18&amp;$D$7,[2]!rng_ForecastRowLookup,0),MATCH(X$11,[2]!rng_ForecastColumnLookup,0))</f>
        <v>88.97018456768312</v>
      </c>
      <c r="Y18" s="84"/>
    </row>
    <row r="19" spans="2:25">
      <c r="C19" s="106" t="s">
        <v>310</v>
      </c>
      <c r="E19" s="81">
        <f>INDEX([2]!tbl_Forecast,MATCH($D$8&amp;$C19&amp;$D$7,[2]!rng_ForecastRowLookup,0),MATCH(E$11,[2]!rng_ForecastColumnLookup,0))</f>
        <v>109.47966092768364</v>
      </c>
      <c r="F19" s="81">
        <f>INDEX([2]!tbl_Forecast,MATCH($D$8&amp;$C19&amp;$D$7,[2]!rng_ForecastRowLookup,0),MATCH(F$11,[2]!rng_ForecastColumnLookup,0))</f>
        <v>108.97605448741629</v>
      </c>
      <c r="G19" s="81">
        <f>INDEX([2]!tbl_Forecast,MATCH($D$8&amp;$C19&amp;$D$7,[2]!rng_ForecastRowLookup,0),MATCH(G$11,[2]!rng_ForecastColumnLookup,0))</f>
        <v>108.47476463677417</v>
      </c>
      <c r="H19" s="81">
        <f>INDEX([2]!tbl_Forecast,MATCH($D$8&amp;$C19&amp;$D$7,[2]!rng_ForecastRowLookup,0),MATCH(H$11,[2]!rng_ForecastColumnLookup,0))</f>
        <v>107.975780719445</v>
      </c>
      <c r="I19" s="81">
        <f>INDEX([2]!tbl_Forecast,MATCH($D$8&amp;$C19&amp;$D$7,[2]!rng_ForecastRowLookup,0),MATCH(I$11,[2]!rng_ForecastColumnLookup,0))</f>
        <v>107.47909212813555</v>
      </c>
      <c r="J19" s="81">
        <f>INDEX([2]!tbl_Forecast,MATCH($D$8&amp;$C19&amp;$D$7,[2]!rng_ForecastRowLookup,0),MATCH(J$11,[2]!rng_ForecastColumnLookup,0))</f>
        <v>106.98468830434612</v>
      </c>
      <c r="K19" s="81">
        <f>INDEX([2]!tbl_Forecast,MATCH($D$8&amp;$C19&amp;$D$7,[2]!rng_ForecastRowLookup,0),MATCH(K$11,[2]!rng_ForecastColumnLookup,0))</f>
        <v>106.49255873814613</v>
      </c>
      <c r="L19" s="81">
        <f>INDEX([2]!tbl_Forecast,MATCH($D$8&amp;$C19&amp;$D$7,[2]!rng_ForecastRowLookup,0),MATCH(L$11,[2]!rng_ForecastColumnLookup,0))</f>
        <v>106.00269296795065</v>
      </c>
      <c r="M19" s="81">
        <f>INDEX([2]!tbl_Forecast,MATCH($D$8&amp;$C19&amp;$D$7,[2]!rng_ForecastRowLookup,0),MATCH(M$11,[2]!rng_ForecastColumnLookup,0))</f>
        <v>105.51508058029808</v>
      </c>
      <c r="N19" s="81">
        <f>INDEX([2]!tbl_Forecast,MATCH($D$8&amp;$C19&amp;$D$7,[2]!rng_ForecastRowLookup,0),MATCH(N$11,[2]!rng_ForecastColumnLookup,0))</f>
        <v>105.0297112096287</v>
      </c>
      <c r="O19" s="81">
        <f>INDEX([2]!tbl_Forecast,MATCH($D$8&amp;$C19&amp;$D$7,[2]!rng_ForecastRowLookup,0),MATCH(O$11,[2]!rng_ForecastColumnLookup,0))</f>
        <v>104.54657453806439</v>
      </c>
      <c r="P19" s="81">
        <f>INDEX([2]!tbl_Forecast,MATCH($D$8&amp;$C19&amp;$D$7,[2]!rng_ForecastRowLookup,0),MATCH(P$11,[2]!rng_ForecastColumnLookup,0))</f>
        <v>104.0656602951893</v>
      </c>
      <c r="Q19" s="81">
        <f>INDEX([2]!tbl_Forecast,MATCH($D$8&amp;$C19&amp;$D$7,[2]!rng_ForecastRowLookup,0),MATCH(Q$11,[2]!rng_ForecastColumnLookup,0))</f>
        <v>103.58695825783141</v>
      </c>
      <c r="R19" s="81">
        <f>INDEX([2]!tbl_Forecast,MATCH($D$8&amp;$C19&amp;$D$7,[2]!rng_ForecastRowLookup,0),MATCH(R$11,[2]!rng_ForecastColumnLookup,0))</f>
        <v>103.11045824984539</v>
      </c>
      <c r="S19" s="81">
        <f>INDEX([2]!tbl_Forecast,MATCH($D$8&amp;$C19&amp;$D$7,[2]!rng_ForecastRowLookup,0),MATCH(S$11,[2]!rng_ForecastColumnLookup,0))</f>
        <v>102.6361501418961</v>
      </c>
      <c r="T19" s="81">
        <f>INDEX([2]!tbl_Forecast,MATCH($D$8&amp;$C19&amp;$D$7,[2]!rng_ForecastRowLookup,0),MATCH(T$11,[2]!rng_ForecastColumnLookup,0))</f>
        <v>102.16402385124337</v>
      </c>
      <c r="U19" s="81">
        <f>INDEX([2]!tbl_Forecast,MATCH($D$8&amp;$C19&amp;$D$7,[2]!rng_ForecastRowLookup,0),MATCH(U$11,[2]!rng_ForecastColumnLookup,0))</f>
        <v>101.69406934152764</v>
      </c>
      <c r="V19" s="81">
        <f>INDEX([2]!tbl_Forecast,MATCH($D$8&amp;$C19&amp;$D$7,[2]!rng_ForecastRowLookup,0),MATCH(V$11,[2]!rng_ForecastColumnLookup,0))</f>
        <v>101.2262766225566</v>
      </c>
      <c r="W19" s="81">
        <f>INDEX([2]!tbl_Forecast,MATCH($D$8&amp;$C19&amp;$D$7,[2]!rng_ForecastRowLookup,0),MATCH(W$11,[2]!rng_ForecastColumnLookup,0))</f>
        <v>100.76063575009285</v>
      </c>
      <c r="X19" s="81">
        <f>INDEX([2]!tbl_Forecast,MATCH($D$8&amp;$C19&amp;$D$7,[2]!rng_ForecastRowLookup,0),MATCH(X$11,[2]!rng_ForecastColumnLookup,0))</f>
        <v>100.29713682564241</v>
      </c>
      <c r="Y19" s="84"/>
    </row>
    <row r="20" spans="2:25">
      <c r="C20" s="71" t="s">
        <v>314</v>
      </c>
      <c r="E20" s="81">
        <f>INDEX([2]!tbl_Forecast,MATCH($D$8&amp;$C20&amp;$D$7,[2]!rng_ForecastRowLookup,0),MATCH(E$11,[2]!rng_ForecastColumnLookup,0))</f>
        <v>241.11763975818661</v>
      </c>
      <c r="F20" s="81">
        <f>INDEX([2]!tbl_Forecast,MATCH($D$8&amp;$C20&amp;$D$7,[2]!rng_ForecastRowLookup,0),MATCH(F$11,[2]!rng_ForecastColumnLookup,0))</f>
        <v>240.12905743517803</v>
      </c>
      <c r="G20" s="81">
        <f>INDEX([2]!tbl_Forecast,MATCH($D$8&amp;$C20&amp;$D$7,[2]!rng_ForecastRowLookup,0),MATCH(G$11,[2]!rng_ForecastColumnLookup,0))</f>
        <v>239.14452829969383</v>
      </c>
      <c r="H20" s="81">
        <f>INDEX([2]!tbl_Forecast,MATCH($D$8&amp;$C20&amp;$D$7,[2]!rng_ForecastRowLookup,0),MATCH(H$11,[2]!rng_ForecastColumnLookup,0))</f>
        <v>238.16403573366509</v>
      </c>
      <c r="I20" s="81">
        <f>INDEX([2]!tbl_Forecast,MATCH($D$8&amp;$C20&amp;$D$7,[2]!rng_ForecastRowLookup,0),MATCH(I$11,[2]!rng_ForecastColumnLookup,0))</f>
        <v>237.18756318715711</v>
      </c>
      <c r="J20" s="81">
        <f>INDEX([2]!tbl_Forecast,MATCH($D$8&amp;$C20&amp;$D$7,[2]!rng_ForecastRowLookup,0),MATCH(J$11,[2]!rng_ForecastColumnLookup,0))</f>
        <v>236.21509417808971</v>
      </c>
      <c r="K20" s="81">
        <f>INDEX([2]!tbl_Forecast,MATCH($D$8&amp;$C20&amp;$D$7,[2]!rng_ForecastRowLookup,0),MATCH(K$11,[2]!rng_ForecastColumnLookup,0))</f>
        <v>235.24661229195956</v>
      </c>
      <c r="L20" s="81">
        <f>INDEX([2]!tbl_Forecast,MATCH($D$8&amp;$C20&amp;$D$7,[2]!rng_ForecastRowLookup,0),MATCH(L$11,[2]!rng_ForecastColumnLookup,0))</f>
        <v>234.28210118156252</v>
      </c>
      <c r="M20" s="81">
        <f>INDEX([2]!tbl_Forecast,MATCH($D$8&amp;$C20&amp;$D$7,[2]!rng_ForecastRowLookup,0),MATCH(M$11,[2]!rng_ForecastColumnLookup,0))</f>
        <v>233.32154456671807</v>
      </c>
      <c r="N20" s="81">
        <f>INDEX([2]!tbl_Forecast,MATCH($D$8&amp;$C20&amp;$D$7,[2]!rng_ForecastRowLookup,0),MATCH(N$11,[2]!rng_ForecastColumnLookup,0))</f>
        <v>232.36492623399457</v>
      </c>
      <c r="O20" s="81">
        <f>INDEX([2]!tbl_Forecast,MATCH($D$8&amp;$C20&amp;$D$7,[2]!rng_ForecastRowLookup,0),MATCH(O$11,[2]!rng_ForecastColumnLookup,0))</f>
        <v>231.41223003643518</v>
      </c>
      <c r="P20" s="81">
        <f>INDEX([2]!tbl_Forecast,MATCH($D$8&amp;$C20&amp;$D$7,[2]!rng_ForecastRowLookup,0),MATCH(P$11,[2]!rng_ForecastColumnLookup,0))</f>
        <v>230.46343989328579</v>
      </c>
      <c r="Q20" s="81">
        <f>INDEX([2]!tbl_Forecast,MATCH($D$8&amp;$C20&amp;$D$7,[2]!rng_ForecastRowLookup,0),MATCH(Q$11,[2]!rng_ForecastColumnLookup,0))</f>
        <v>229.51853978972335</v>
      </c>
      <c r="R20" s="81">
        <f>INDEX([2]!tbl_Forecast,MATCH($D$8&amp;$C20&amp;$D$7,[2]!rng_ForecastRowLookup,0),MATCH(R$11,[2]!rng_ForecastColumnLookup,0))</f>
        <v>228.57751377658545</v>
      </c>
      <c r="S20" s="81">
        <f>INDEX([2]!tbl_Forecast,MATCH($D$8&amp;$C20&amp;$D$7,[2]!rng_ForecastRowLookup,0),MATCH(S$11,[2]!rng_ForecastColumnLookup,0))</f>
        <v>227.64034597010144</v>
      </c>
      <c r="T20" s="81">
        <f>INDEX([2]!tbl_Forecast,MATCH($D$8&amp;$C20&amp;$D$7,[2]!rng_ForecastRowLookup,0),MATCH(T$11,[2]!rng_ForecastColumnLookup,0))</f>
        <v>226.70702055162403</v>
      </c>
      <c r="U20" s="81">
        <f>INDEX([2]!tbl_Forecast,MATCH($D$8&amp;$C20&amp;$D$7,[2]!rng_ForecastRowLookup,0),MATCH(U$11,[2]!rng_ForecastColumnLookup,0))</f>
        <v>225.77752176736234</v>
      </c>
      <c r="V20" s="81">
        <f>INDEX([2]!tbl_Forecast,MATCH($D$8&amp;$C20&amp;$D$7,[2]!rng_ForecastRowLookup,0),MATCH(V$11,[2]!rng_ForecastColumnLookup,0))</f>
        <v>224.85183392811618</v>
      </c>
      <c r="W20" s="81">
        <f>INDEX([2]!tbl_Forecast,MATCH($D$8&amp;$C20&amp;$D$7,[2]!rng_ForecastRowLookup,0),MATCH(W$11,[2]!rng_ForecastColumnLookup,0))</f>
        <v>223.92994140901092</v>
      </c>
      <c r="X20" s="81">
        <f>INDEX([2]!tbl_Forecast,MATCH($D$8&amp;$C20&amp;$D$7,[2]!rng_ForecastRowLookup,0),MATCH(X$11,[2]!rng_ForecastColumnLookup,0))</f>
        <v>223.01182864923393</v>
      </c>
      <c r="Y20" s="84"/>
    </row>
    <row r="21" spans="2:25">
      <c r="C21" s="71" t="s">
        <v>297</v>
      </c>
      <c r="E21" s="81">
        <f>INDEX([2]!tbl_Forecast,MATCH($D$8&amp;$C21&amp;$D$7,[2]!rng_ForecastRowLookup,0),MATCH(E$11,[2]!rng_ForecastColumnLookup,0))</f>
        <v>122.15340627232256</v>
      </c>
      <c r="F21" s="81">
        <f>INDEX([2]!tbl_Forecast,MATCH($D$8&amp;$C21&amp;$D$7,[2]!rng_ForecastRowLookup,0),MATCH(F$11,[2]!rng_ForecastColumnLookup,0))</f>
        <v>121.65257730660603</v>
      </c>
      <c r="G21" s="81">
        <f>INDEX([2]!tbl_Forecast,MATCH($D$8&amp;$C21&amp;$D$7,[2]!rng_ForecastRowLookup,0),MATCH(G$11,[2]!rng_ForecastColumnLookup,0))</f>
        <v>121.15380173964894</v>
      </c>
      <c r="H21" s="81">
        <f>INDEX([2]!tbl_Forecast,MATCH($D$8&amp;$C21&amp;$D$7,[2]!rng_ForecastRowLookup,0),MATCH(H$11,[2]!rng_ForecastColumnLookup,0))</f>
        <v>120.65707115251638</v>
      </c>
      <c r="I21" s="81">
        <f>INDEX([2]!tbl_Forecast,MATCH($D$8&amp;$C21&amp;$D$7,[2]!rng_ForecastRowLookup,0),MATCH(I$11,[2]!rng_ForecastColumnLookup,0))</f>
        <v>120.16237716079107</v>
      </c>
      <c r="J21" s="81">
        <f>INDEX([2]!tbl_Forecast,MATCH($D$8&amp;$C21&amp;$D$7,[2]!rng_ForecastRowLookup,0),MATCH(J$11,[2]!rng_ForecastColumnLookup,0))</f>
        <v>119.66971141443182</v>
      </c>
      <c r="K21" s="81">
        <f>INDEX([2]!tbl_Forecast,MATCH($D$8&amp;$C21&amp;$D$7,[2]!rng_ForecastRowLookup,0),MATCH(K$11,[2]!rng_ForecastColumnLookup,0))</f>
        <v>119.17906559763266</v>
      </c>
      <c r="L21" s="81">
        <f>INDEX([2]!tbl_Forecast,MATCH($D$8&amp;$C21&amp;$D$7,[2]!rng_ForecastRowLookup,0),MATCH(L$11,[2]!rng_ForecastColumnLookup,0))</f>
        <v>118.69043142868237</v>
      </c>
      <c r="M21" s="81">
        <f>INDEX([2]!tbl_Forecast,MATCH($D$8&amp;$C21&amp;$D$7,[2]!rng_ForecastRowLookup,0),MATCH(M$11,[2]!rng_ForecastColumnLookup,0))</f>
        <v>118.20380065982476</v>
      </c>
      <c r="N21" s="81">
        <f>INDEX([2]!tbl_Forecast,MATCH($D$8&amp;$C21&amp;$D$7,[2]!rng_ForecastRowLookup,0),MATCH(N$11,[2]!rng_ForecastColumnLookup,0))</f>
        <v>117.71916507711948</v>
      </c>
      <c r="O21" s="81">
        <f>INDEX([2]!tbl_Forecast,MATCH($D$8&amp;$C21&amp;$D$7,[2]!rng_ForecastRowLookup,0),MATCH(O$11,[2]!rng_ForecastColumnLookup,0))</f>
        <v>117.23651650030328</v>
      </c>
      <c r="P21" s="81">
        <f>INDEX([2]!tbl_Forecast,MATCH($D$8&amp;$C21&amp;$D$7,[2]!rng_ForecastRowLookup,0),MATCH(P$11,[2]!rng_ForecastColumnLookup,0))</f>
        <v>116.75584678265207</v>
      </c>
      <c r="Q21" s="81">
        <f>INDEX([2]!tbl_Forecast,MATCH($D$8&amp;$C21&amp;$D$7,[2]!rng_ForecastRowLookup,0),MATCH(Q$11,[2]!rng_ForecastColumnLookup,0))</f>
        <v>116.27714781084319</v>
      </c>
      <c r="R21" s="81">
        <f>INDEX([2]!tbl_Forecast,MATCH($D$8&amp;$C21&amp;$D$7,[2]!rng_ForecastRowLookup,0),MATCH(R$11,[2]!rng_ForecastColumnLookup,0))</f>
        <v>115.80041150481873</v>
      </c>
      <c r="S21" s="81">
        <f>INDEX([2]!tbl_Forecast,MATCH($D$8&amp;$C21&amp;$D$7,[2]!rng_ForecastRowLookup,0),MATCH(S$11,[2]!rng_ForecastColumnLookup,0))</f>
        <v>115.32562981764897</v>
      </c>
      <c r="T21" s="81">
        <f>INDEX([2]!tbl_Forecast,MATCH($D$8&amp;$C21&amp;$D$7,[2]!rng_ForecastRowLookup,0),MATCH(T$11,[2]!rng_ForecastColumnLookup,0))</f>
        <v>114.8527947353966</v>
      </c>
      <c r="U21" s="81">
        <f>INDEX([2]!tbl_Forecast,MATCH($D$8&amp;$C21&amp;$D$7,[2]!rng_ForecastRowLookup,0),MATCH(U$11,[2]!rng_ForecastColumnLookup,0))</f>
        <v>114.38189827698147</v>
      </c>
      <c r="V21" s="81">
        <f>INDEX([2]!tbl_Forecast,MATCH($D$8&amp;$C21&amp;$D$7,[2]!rng_ForecastRowLookup,0),MATCH(V$11,[2]!rng_ForecastColumnLookup,0))</f>
        <v>113.91293249404585</v>
      </c>
      <c r="W21" s="81">
        <f>INDEX([2]!tbl_Forecast,MATCH($D$8&amp;$C21&amp;$D$7,[2]!rng_ForecastRowLookup,0),MATCH(W$11,[2]!rng_ForecastColumnLookup,0))</f>
        <v>113.44588947082025</v>
      </c>
      <c r="X21" s="81">
        <f>INDEX([2]!tbl_Forecast,MATCH($D$8&amp;$C21&amp;$D$7,[2]!rng_ForecastRowLookup,0),MATCH(X$11,[2]!rng_ForecastColumnLookup,0))</f>
        <v>112.98076132398991</v>
      </c>
      <c r="Y21" s="84"/>
    </row>
    <row r="22" spans="2:25">
      <c r="C22" s="71" t="s">
        <v>54</v>
      </c>
      <c r="E22" s="81">
        <f>INDEX([2]!tbl_Forecast,MATCH($D$8&amp;$C22&amp;$D$7,[2]!rng_ForecastRowLookup,0),MATCH(E$11,[2]!rng_ForecastColumnLookup,0))</f>
        <v>448.69829599576161</v>
      </c>
      <c r="F22" s="81">
        <f>INDEX([2]!tbl_Forecast,MATCH($D$8&amp;$C22&amp;$D$7,[2]!rng_ForecastRowLookup,0),MATCH(F$11,[2]!rng_ForecastColumnLookup,0))</f>
        <v>447.03811230057732</v>
      </c>
      <c r="G22" s="81">
        <f>INDEX([2]!tbl_Forecast,MATCH($D$8&amp;$C22&amp;$D$7,[2]!rng_ForecastRowLookup,0),MATCH(G$11,[2]!rng_ForecastColumnLookup,0))</f>
        <v>445.3840712850652</v>
      </c>
      <c r="H22" s="81">
        <f>INDEX([2]!tbl_Forecast,MATCH($D$8&amp;$C22&amp;$D$7,[2]!rng_ForecastRowLookup,0),MATCH(H$11,[2]!rng_ForecastColumnLookup,0))</f>
        <v>443.73615022131042</v>
      </c>
      <c r="I22" s="81">
        <f>INDEX([2]!tbl_Forecast,MATCH($D$8&amp;$C22&amp;$D$7,[2]!rng_ForecastRowLookup,0),MATCH(I$11,[2]!rng_ForecastColumnLookup,0))</f>
        <v>442.09432646549152</v>
      </c>
      <c r="J22" s="81">
        <f>INDEX([2]!tbl_Forecast,MATCH($D$8&amp;$C22&amp;$D$7,[2]!rng_ForecastRowLookup,0),MATCH(J$11,[2]!rng_ForecastColumnLookup,0))</f>
        <v>440.45857745756916</v>
      </c>
      <c r="K22" s="81">
        <f>INDEX([2]!tbl_Forecast,MATCH($D$8&amp;$C22&amp;$D$7,[2]!rng_ForecastRowLookup,0),MATCH(K$11,[2]!rng_ForecastColumnLookup,0))</f>
        <v>438.82888072097626</v>
      </c>
      <c r="L22" s="81">
        <f>INDEX([2]!tbl_Forecast,MATCH($D$8&amp;$C22&amp;$D$7,[2]!rng_ForecastRowLookup,0),MATCH(L$11,[2]!rng_ForecastColumnLookup,0))</f>
        <v>437.2052138623086</v>
      </c>
      <c r="M22" s="81">
        <f>INDEX([2]!tbl_Forecast,MATCH($D$8&amp;$C22&amp;$D$7,[2]!rng_ForecastRowLookup,0),MATCH(M$11,[2]!rng_ForecastColumnLookup,0))</f>
        <v>435.58755457101802</v>
      </c>
      <c r="N22" s="81">
        <f>INDEX([2]!tbl_Forecast,MATCH($D$8&amp;$C22&amp;$D$7,[2]!rng_ForecastRowLookup,0),MATCH(N$11,[2]!rng_ForecastColumnLookup,0))</f>
        <v>433.97588061910528</v>
      </c>
      <c r="O22" s="81">
        <f>INDEX([2]!tbl_Forecast,MATCH($D$8&amp;$C22&amp;$D$7,[2]!rng_ForecastRowLookup,0),MATCH(O$11,[2]!rng_ForecastColumnLookup,0))</f>
        <v>432.37016986081449</v>
      </c>
      <c r="P22" s="81">
        <f>INDEX([2]!tbl_Forecast,MATCH($D$8&amp;$C22&amp;$D$7,[2]!rng_ForecastRowLookup,0),MATCH(P$11,[2]!rng_ForecastColumnLookup,0))</f>
        <v>430.77040023232951</v>
      </c>
      <c r="Q22" s="81">
        <f>INDEX([2]!tbl_Forecast,MATCH($D$8&amp;$C22&amp;$D$7,[2]!rng_ForecastRowLookup,0),MATCH(Q$11,[2]!rng_ForecastColumnLookup,0))</f>
        <v>429.17654975146979</v>
      </c>
      <c r="R22" s="81">
        <f>INDEX([2]!tbl_Forecast,MATCH($D$8&amp;$C22&amp;$D$7,[2]!rng_ForecastRowLookup,0),MATCH(R$11,[2]!rng_ForecastColumnLookup,0))</f>
        <v>427.58859651738936</v>
      </c>
      <c r="S22" s="81">
        <f>INDEX([2]!tbl_Forecast,MATCH($D$8&amp;$C22&amp;$D$7,[2]!rng_ForecastRowLookup,0),MATCH(S$11,[2]!rng_ForecastColumnLookup,0))</f>
        <v>426.00651871027503</v>
      </c>
      <c r="T22" s="81">
        <f>INDEX([2]!tbl_Forecast,MATCH($D$8&amp;$C22&amp;$D$7,[2]!rng_ForecastRowLookup,0),MATCH(T$11,[2]!rng_ForecastColumnLookup,0))</f>
        <v>424.43029459104702</v>
      </c>
      <c r="U22" s="81">
        <f>INDEX([2]!tbl_Forecast,MATCH($D$8&amp;$C22&amp;$D$7,[2]!rng_ForecastRowLookup,0),MATCH(U$11,[2]!rng_ForecastColumnLookup,0))</f>
        <v>422.85990250106011</v>
      </c>
      <c r="V22" s="81">
        <f>INDEX([2]!tbl_Forecast,MATCH($D$8&amp;$C22&amp;$D$7,[2]!rng_ForecastRowLookup,0),MATCH(V$11,[2]!rng_ForecastColumnLookup,0))</f>
        <v>421.2953208618062</v>
      </c>
      <c r="W22" s="81">
        <f>INDEX([2]!tbl_Forecast,MATCH($D$8&amp;$C22&amp;$D$7,[2]!rng_ForecastRowLookup,0),MATCH(W$11,[2]!rng_ForecastColumnLookup,0))</f>
        <v>419.73652817461749</v>
      </c>
      <c r="X22" s="81">
        <f>INDEX([2]!tbl_Forecast,MATCH($D$8&amp;$C22&amp;$D$7,[2]!rng_ForecastRowLookup,0),MATCH(X$11,[2]!rng_ForecastColumnLookup,0))</f>
        <v>418.18350302037135</v>
      </c>
      <c r="Y22" s="84"/>
    </row>
    <row r="23" spans="2:25">
      <c r="C23" s="71" t="s">
        <v>300</v>
      </c>
      <c r="E23" s="81">
        <f>INDEX([2]!tbl_Forecast,MATCH($D$8&amp;$C23&amp;$D$7,[2]!rng_ForecastRowLookup,0),MATCH(E$11,[2]!rng_ForecastColumnLookup,0))</f>
        <v>53.720939527021244</v>
      </c>
      <c r="F23" s="81">
        <f>INDEX([2]!tbl_Forecast,MATCH($D$8&amp;$C23&amp;$D$7,[2]!rng_ForecastRowLookup,0),MATCH(F$11,[2]!rng_ForecastColumnLookup,0))</f>
        <v>53.237451071278059</v>
      </c>
      <c r="G23" s="81">
        <f>INDEX([2]!tbl_Forecast,MATCH($D$8&amp;$C23&amp;$D$7,[2]!rng_ForecastRowLookup,0),MATCH(G$11,[2]!rng_ForecastColumnLookup,0))</f>
        <v>52.758314011636557</v>
      </c>
      <c r="H23" s="81">
        <f>INDEX([2]!tbl_Forecast,MATCH($D$8&amp;$C23&amp;$D$7,[2]!rng_ForecastRowLookup,0),MATCH(H$11,[2]!rng_ForecastColumnLookup,0))</f>
        <v>52.283489185531828</v>
      </c>
      <c r="I23" s="81">
        <f>INDEX([2]!tbl_Forecast,MATCH($D$8&amp;$C23&amp;$D$7,[2]!rng_ForecastRowLookup,0),MATCH(I$11,[2]!rng_ForecastColumnLookup,0))</f>
        <v>51.812937782862043</v>
      </c>
      <c r="J23" s="81">
        <f>INDEX([2]!tbl_Forecast,MATCH($D$8&amp;$C23&amp;$D$7,[2]!rng_ForecastRowLookup,0),MATCH(J$11,[2]!rng_ForecastColumnLookup,0))</f>
        <v>51.346621342816277</v>
      </c>
      <c r="K23" s="81">
        <f>INDEX([2]!tbl_Forecast,MATCH($D$8&amp;$C23&amp;$D$7,[2]!rng_ForecastRowLookup,0),MATCH(K$11,[2]!rng_ForecastColumnLookup,0))</f>
        <v>50.884501750730934</v>
      </c>
      <c r="L23" s="81">
        <f>INDEX([2]!tbl_Forecast,MATCH($D$8&amp;$C23&amp;$D$7,[2]!rng_ForecastRowLookup,0),MATCH(L$11,[2]!rng_ForecastColumnLookup,0))</f>
        <v>50.426541234974358</v>
      </c>
      <c r="M23" s="81">
        <f>INDEX([2]!tbl_Forecast,MATCH($D$8&amp;$C23&amp;$D$7,[2]!rng_ForecastRowLookup,0),MATCH(M$11,[2]!rng_ForecastColumnLookup,0))</f>
        <v>49.97270236385959</v>
      </c>
      <c r="N23" s="81">
        <f>INDEX([2]!tbl_Forecast,MATCH($D$8&amp;$C23&amp;$D$7,[2]!rng_ForecastRowLookup,0),MATCH(N$11,[2]!rng_ForecastColumnLookup,0))</f>
        <v>49.522948042584851</v>
      </c>
      <c r="O23" s="81">
        <f>INDEX([2]!tbl_Forecast,MATCH($D$8&amp;$C23&amp;$D$7,[2]!rng_ForecastRowLookup,0),MATCH(O$11,[2]!rng_ForecastColumnLookup,0))</f>
        <v>49.077241510201581</v>
      </c>
      <c r="P23" s="81">
        <f>INDEX([2]!tbl_Forecast,MATCH($D$8&amp;$C23&amp;$D$7,[2]!rng_ForecastRowLookup,0),MATCH(P$11,[2]!rng_ForecastColumnLookup,0))</f>
        <v>48.635546336609778</v>
      </c>
      <c r="Q23" s="81">
        <f>INDEX([2]!tbl_Forecast,MATCH($D$8&amp;$C23&amp;$D$7,[2]!rng_ForecastRowLookup,0),MATCH(Q$11,[2]!rng_ForecastColumnLookup,0))</f>
        <v>48.197826419580288</v>
      </c>
      <c r="R23" s="81">
        <f>INDEX([2]!tbl_Forecast,MATCH($D$8&amp;$C23&amp;$D$7,[2]!rng_ForecastRowLookup,0),MATCH(R$11,[2]!rng_ForecastColumnLookup,0))</f>
        <v>47.76404598180406</v>
      </c>
      <c r="S23" s="81">
        <f>INDEX([2]!tbl_Forecast,MATCH($D$8&amp;$C23&amp;$D$7,[2]!rng_ForecastRowLookup,0),MATCH(S$11,[2]!rng_ForecastColumnLookup,0))</f>
        <v>47.33416956796782</v>
      </c>
      <c r="T23" s="81">
        <f>INDEX([2]!tbl_Forecast,MATCH($D$8&amp;$C23&amp;$D$7,[2]!rng_ForecastRowLookup,0),MATCH(T$11,[2]!rng_ForecastColumnLookup,0))</f>
        <v>46.908162041856116</v>
      </c>
      <c r="U23" s="81">
        <f>INDEX([2]!tbl_Forecast,MATCH($D$8&amp;$C23&amp;$D$7,[2]!rng_ForecastRowLookup,0),MATCH(U$11,[2]!rng_ForecastColumnLookup,0))</f>
        <v>46.485988583479411</v>
      </c>
      <c r="V23" s="81">
        <f>INDEX([2]!tbl_Forecast,MATCH($D$8&amp;$C23&amp;$D$7,[2]!rng_ForecastRowLookup,0),MATCH(V$11,[2]!rng_ForecastColumnLookup,0))</f>
        <v>46.067614686228097</v>
      </c>
      <c r="W23" s="81">
        <f>INDEX([2]!tbl_Forecast,MATCH($D$8&amp;$C23&amp;$D$7,[2]!rng_ForecastRowLookup,0),MATCH(W$11,[2]!rng_ForecastColumnLookup,0))</f>
        <v>45.653006154052044</v>
      </c>
      <c r="X23" s="81">
        <f>INDEX([2]!tbl_Forecast,MATCH($D$8&amp;$C23&amp;$D$7,[2]!rng_ForecastRowLookup,0),MATCH(X$11,[2]!rng_ForecastColumnLookup,0))</f>
        <v>45.242129098665572</v>
      </c>
      <c r="Y23" s="84"/>
    </row>
    <row r="24" spans="2:25">
      <c r="C24" s="71" t="s">
        <v>350</v>
      </c>
      <c r="E24" s="81">
        <f>INDEX([2]!tbl_Forecast,MATCH($D$8&amp;$C24&amp;$D$7,[2]!rng_ForecastRowLookup,0),MATCH(E$11,[2]!rng_ForecastColumnLookup,0))</f>
        <v>22.491017060912501</v>
      </c>
      <c r="F24" s="81">
        <f>INDEX([2]!tbl_Forecast,MATCH($D$8&amp;$C24&amp;$D$7,[2]!rng_ForecastRowLookup,0),MATCH(F$11,[2]!rng_ForecastColumnLookup,0))</f>
        <v>22.384859460384995</v>
      </c>
      <c r="G24" s="81">
        <f>INDEX([2]!tbl_Forecast,MATCH($D$8&amp;$C24&amp;$D$7,[2]!rng_ForecastRowLookup,0),MATCH(G$11,[2]!rng_ForecastColumnLookup,0))</f>
        <v>22.279202923731983</v>
      </c>
      <c r="H24" s="81">
        <f>INDEX([2]!tbl_Forecast,MATCH($D$8&amp;$C24&amp;$D$7,[2]!rng_ForecastRowLookup,0),MATCH(H$11,[2]!rng_ForecastColumnLookup,0))</f>
        <v>22.174045085931969</v>
      </c>
      <c r="I24" s="81">
        <f>INDEX([2]!tbl_Forecast,MATCH($D$8&amp;$C24&amp;$D$7,[2]!rng_ForecastRowLookup,0),MATCH(I$11,[2]!rng_ForecastColumnLookup,0))</f>
        <v>22.069383593126368</v>
      </c>
      <c r="J24" s="81">
        <f>INDEX([2]!tbl_Forecast,MATCH($D$8&amp;$C24&amp;$D$7,[2]!rng_ForecastRowLookup,0),MATCH(J$11,[2]!rng_ForecastColumnLookup,0))</f>
        <v>21.965216102566814</v>
      </c>
      <c r="K24" s="81">
        <f>INDEX([2]!tbl_Forecast,MATCH($D$8&amp;$C24&amp;$D$7,[2]!rng_ForecastRowLookup,0),MATCH(K$11,[2]!rng_ForecastColumnLookup,0))</f>
        <v>21.8615402825627</v>
      </c>
      <c r="L24" s="81">
        <f>INDEX([2]!tbl_Forecast,MATCH($D$8&amp;$C24&amp;$D$7,[2]!rng_ForecastRowLookup,0),MATCH(L$11,[2]!rng_ForecastColumnLookup,0))</f>
        <v>21.758353812429004</v>
      </c>
      <c r="M24" s="81">
        <f>INDEX([2]!tbl_Forecast,MATCH($D$8&amp;$C24&amp;$D$7,[2]!rng_ForecastRowLookup,0),MATCH(M$11,[2]!rng_ForecastColumnLookup,0))</f>
        <v>21.655654382434342</v>
      </c>
      <c r="N24" s="81">
        <f>INDEX([2]!tbl_Forecast,MATCH($D$8&amp;$C24&amp;$D$7,[2]!rng_ForecastRowLookup,0),MATCH(N$11,[2]!rng_ForecastColumnLookup,0))</f>
        <v>21.553439693749251</v>
      </c>
      <c r="O24" s="81">
        <f>INDEX([2]!tbl_Forecast,MATCH($D$8&amp;$C24&amp;$D$7,[2]!rng_ForecastRowLookup,0),MATCH(O$11,[2]!rng_ForecastColumnLookup,0))</f>
        <v>21.451707458394754</v>
      </c>
      <c r="P24" s="81">
        <f>INDEX([2]!tbl_Forecast,MATCH($D$8&amp;$C24&amp;$D$7,[2]!rng_ForecastRowLookup,0),MATCH(P$11,[2]!rng_ForecastColumnLookup,0))</f>
        <v>21.350455399191134</v>
      </c>
      <c r="Q24" s="81">
        <f>INDEX([2]!tbl_Forecast,MATCH($D$8&amp;$C24&amp;$D$7,[2]!rng_ForecastRowLookup,0),MATCH(Q$11,[2]!rng_ForecastColumnLookup,0))</f>
        <v>21.249681249706953</v>
      </c>
      <c r="R24" s="81">
        <f>INDEX([2]!tbl_Forecast,MATCH($D$8&amp;$C24&amp;$D$7,[2]!rng_ForecastRowLookup,0),MATCH(R$11,[2]!rng_ForecastColumnLookup,0))</f>
        <v>21.149382754208336</v>
      </c>
      <c r="S24" s="81">
        <f>INDEX([2]!tbl_Forecast,MATCH($D$8&amp;$C24&amp;$D$7,[2]!rng_ForecastRowLookup,0),MATCH(S$11,[2]!rng_ForecastColumnLookup,0))</f>
        <v>21.049557667608472</v>
      </c>
      <c r="T24" s="81">
        <f>INDEX([2]!tbl_Forecast,MATCH($D$8&amp;$C24&amp;$D$7,[2]!rng_ForecastRowLookup,0),MATCH(T$11,[2]!rng_ForecastColumnLookup,0))</f>
        <v>20.950203755417366</v>
      </c>
      <c r="U24" s="81">
        <f>INDEX([2]!tbl_Forecast,MATCH($D$8&amp;$C24&amp;$D$7,[2]!rng_ForecastRowLookup,0),MATCH(U$11,[2]!rng_ForecastColumnLookup,0))</f>
        <v>20.851318793691796</v>
      </c>
      <c r="V24" s="81">
        <f>INDEX([2]!tbl_Forecast,MATCH($D$8&amp;$C24&amp;$D$7,[2]!rng_ForecastRowLookup,0),MATCH(V$11,[2]!rng_ForecastColumnLookup,0))</f>
        <v>20.75290056898557</v>
      </c>
      <c r="W24" s="81">
        <f>INDEX([2]!tbl_Forecast,MATCH($D$8&amp;$C24&amp;$D$7,[2]!rng_ForecastRowLookup,0),MATCH(W$11,[2]!rng_ForecastColumnLookup,0))</f>
        <v>20.654946878299963</v>
      </c>
      <c r="X24" s="81">
        <f>INDEX([2]!tbl_Forecast,MATCH($D$8&amp;$C24&amp;$D$7,[2]!rng_ForecastRowLookup,0),MATCH(X$11,[2]!rng_ForecastColumnLookup,0))</f>
        <v>20.557455529034385</v>
      </c>
      <c r="Y24" s="84"/>
    </row>
    <row r="25" spans="2:25">
      <c r="C25" s="71" t="s">
        <v>302</v>
      </c>
      <c r="E25" s="81">
        <f>INDEX([2]!tbl_Forecast,MATCH($D$8&amp;$C25&amp;$D$7,[2]!rng_ForecastRowLookup,0),MATCH(E$11,[2]!rng_ForecastColumnLookup,0))</f>
        <v>51.550857208753726</v>
      </c>
      <c r="F25" s="81">
        <f>INDEX([2]!tbl_Forecast,MATCH($D$8&amp;$C25&amp;$D$7,[2]!rng_ForecastRowLookup,0),MATCH(F$11,[2]!rng_ForecastColumnLookup,0))</f>
        <v>51.307537162728408</v>
      </c>
      <c r="G25" s="81">
        <f>INDEX([2]!tbl_Forecast,MATCH($D$8&amp;$C25&amp;$D$7,[2]!rng_ForecastRowLookup,0),MATCH(G$11,[2]!rng_ForecastColumnLookup,0))</f>
        <v>51.065365587320336</v>
      </c>
      <c r="H25" s="81">
        <f>INDEX([2]!tbl_Forecast,MATCH($D$8&amp;$C25&amp;$D$7,[2]!rng_ForecastRowLookup,0),MATCH(H$11,[2]!rng_ForecastColumnLookup,0))</f>
        <v>50.824337061748189</v>
      </c>
      <c r="I25" s="81">
        <f>INDEX([2]!tbl_Forecast,MATCH($D$8&amp;$C25&amp;$D$7,[2]!rng_ForecastRowLookup,0),MATCH(I$11,[2]!rng_ForecastColumnLookup,0))</f>
        <v>50.584446190816735</v>
      </c>
      <c r="J25" s="81">
        <f>INDEX([2]!tbl_Forecast,MATCH($D$8&amp;$C25&amp;$D$7,[2]!rng_ForecastRowLookup,0),MATCH(J$11,[2]!rng_ForecastColumnLookup,0))</f>
        <v>50.345687604796083</v>
      </c>
      <c r="K25" s="81">
        <f>INDEX([2]!tbl_Forecast,MATCH($D$8&amp;$C25&amp;$D$7,[2]!rng_ForecastRowLookup,0),MATCH(K$11,[2]!rng_ForecastColumnLookup,0))</f>
        <v>50.108055959301453</v>
      </c>
      <c r="L25" s="81">
        <f>INDEX([2]!tbl_Forecast,MATCH($D$8&amp;$C25&amp;$D$7,[2]!rng_ForecastRowLookup,0),MATCH(L$11,[2]!rng_ForecastColumnLookup,0))</f>
        <v>49.871545935173543</v>
      </c>
      <c r="M25" s="81">
        <f>INDEX([2]!tbl_Forecast,MATCH($D$8&amp;$C25&amp;$D$7,[2]!rng_ForecastRowLookup,0),MATCH(M$11,[2]!rng_ForecastColumnLookup,0))</f>
        <v>49.636152238359529</v>
      </c>
      <c r="N25" s="81">
        <f>INDEX([2]!tbl_Forecast,MATCH($D$8&amp;$C25&amp;$D$7,[2]!rng_ForecastRowLookup,0),MATCH(N$11,[2]!rng_ForecastColumnLookup,0))</f>
        <v>49.40186959979448</v>
      </c>
      <c r="O25" s="81">
        <f>INDEX([2]!tbl_Forecast,MATCH($D$8&amp;$C25&amp;$D$7,[2]!rng_ForecastRowLookup,0),MATCH(O$11,[2]!rng_ForecastColumnLookup,0))</f>
        <v>49.168692775283453</v>
      </c>
      <c r="P25" s="81">
        <f>INDEX([2]!tbl_Forecast,MATCH($D$8&amp;$C25&amp;$D$7,[2]!rng_ForecastRowLookup,0),MATCH(P$11,[2]!rng_ForecastColumnLookup,0))</f>
        <v>48.936616545384119</v>
      </c>
      <c r="Q25" s="81">
        <f>INDEX([2]!tbl_Forecast,MATCH($D$8&amp;$C25&amp;$D$7,[2]!rng_ForecastRowLookup,0),MATCH(Q$11,[2]!rng_ForecastColumnLookup,0))</f>
        <v>48.705635715289908</v>
      </c>
      <c r="R25" s="81">
        <f>INDEX([2]!tbl_Forecast,MATCH($D$8&amp;$C25&amp;$D$7,[2]!rng_ForecastRowLookup,0),MATCH(R$11,[2]!rng_ForecastColumnLookup,0))</f>
        <v>48.475745114713739</v>
      </c>
      <c r="S25" s="81">
        <f>INDEX([2]!tbl_Forecast,MATCH($D$8&amp;$C25&amp;$D$7,[2]!rng_ForecastRowLookup,0),MATCH(S$11,[2]!rng_ForecastColumnLookup,0))</f>
        <v>48.246939597772297</v>
      </c>
      <c r="T25" s="81">
        <f>INDEX([2]!tbl_Forecast,MATCH($D$8&amp;$C25&amp;$D$7,[2]!rng_ForecastRowLookup,0),MATCH(T$11,[2]!rng_ForecastColumnLookup,0))</f>
        <v>48.019214042870807</v>
      </c>
      <c r="U25" s="81">
        <f>INDEX([2]!tbl_Forecast,MATCH($D$8&amp;$C25&amp;$D$7,[2]!rng_ForecastRowLookup,0),MATCH(U$11,[2]!rng_ForecastColumnLookup,0))</f>
        <v>47.792563352588466</v>
      </c>
      <c r="V25" s="81">
        <f>INDEX([2]!tbl_Forecast,MATCH($D$8&amp;$C25&amp;$D$7,[2]!rng_ForecastRowLookup,0),MATCH(V$11,[2]!rng_ForecastColumnLookup,0))</f>
        <v>47.56698245356425</v>
      </c>
      <c r="W25" s="81">
        <f>INDEX([2]!tbl_Forecast,MATCH($D$8&amp;$C25&amp;$D$7,[2]!rng_ForecastRowLookup,0),MATCH(W$11,[2]!rng_ForecastColumnLookup,0))</f>
        <v>47.342466296383435</v>
      </c>
      <c r="X25" s="81">
        <f>INDEX([2]!tbl_Forecast,MATCH($D$8&amp;$C25&amp;$D$7,[2]!rng_ForecastRowLookup,0),MATCH(X$11,[2]!rng_ForecastColumnLookup,0))</f>
        <v>47.119009855464505</v>
      </c>
      <c r="Y25" s="84"/>
    </row>
    <row r="26" spans="2:25">
      <c r="C26" s="71" t="s">
        <v>49</v>
      </c>
      <c r="E26" s="81">
        <f>INDEX([2]!tbl_Forecast,MATCH($D$8&amp;$C26&amp;$D$7,[2]!rng_ForecastRowLookup,0),MATCH(E$11,[2]!rng_ForecastColumnLookup,0))</f>
        <v>170.15189589049527</v>
      </c>
      <c r="F26" s="81">
        <f>INDEX([2]!tbl_Forecast,MATCH($D$8&amp;$C26&amp;$D$7,[2]!rng_ForecastRowLookup,0),MATCH(F$11,[2]!rng_ForecastColumnLookup,0))</f>
        <v>169.74353134035809</v>
      </c>
      <c r="G26" s="81">
        <f>INDEX([2]!tbl_Forecast,MATCH($D$8&amp;$C26&amp;$D$7,[2]!rng_ForecastRowLookup,0),MATCH(G$11,[2]!rng_ForecastColumnLookup,0))</f>
        <v>169.33614686514122</v>
      </c>
      <c r="H26" s="81">
        <f>INDEX([2]!tbl_Forecast,MATCH($D$8&amp;$C26&amp;$D$7,[2]!rng_ForecastRowLookup,0),MATCH(H$11,[2]!rng_ForecastColumnLookup,0))</f>
        <v>168.92974011266489</v>
      </c>
      <c r="I26" s="81">
        <f>INDEX([2]!tbl_Forecast,MATCH($D$8&amp;$C26&amp;$D$7,[2]!rng_ForecastRowLookup,0),MATCH(I$11,[2]!rng_ForecastColumnLookup,0))</f>
        <v>168.52430873639449</v>
      </c>
      <c r="J26" s="81">
        <f>INDEX([2]!tbl_Forecast,MATCH($D$8&amp;$C26&amp;$D$7,[2]!rng_ForecastRowLookup,0),MATCH(J$11,[2]!rng_ForecastColumnLookup,0))</f>
        <v>168.11985039542716</v>
      </c>
      <c r="K26" s="81">
        <f>INDEX([2]!tbl_Forecast,MATCH($D$8&amp;$C26&amp;$D$7,[2]!rng_ForecastRowLookup,0),MATCH(K$11,[2]!rng_ForecastColumnLookup,0))</f>
        <v>167.71636275447813</v>
      </c>
      <c r="L26" s="81">
        <f>INDEX([2]!tbl_Forecast,MATCH($D$8&amp;$C26&amp;$D$7,[2]!rng_ForecastRowLookup,0),MATCH(L$11,[2]!rng_ForecastColumnLookup,0))</f>
        <v>167.31384348386743</v>
      </c>
      <c r="M26" s="81">
        <f>INDEX([2]!tbl_Forecast,MATCH($D$8&amp;$C26&amp;$D$7,[2]!rng_ForecastRowLookup,0),MATCH(M$11,[2]!rng_ForecastColumnLookup,0))</f>
        <v>166.91229025950614</v>
      </c>
      <c r="N26" s="81">
        <f>INDEX([2]!tbl_Forecast,MATCH($D$8&amp;$C26&amp;$D$7,[2]!rng_ForecastRowLookup,0),MATCH(N$11,[2]!rng_ForecastColumnLookup,0))</f>
        <v>166.51170076288332</v>
      </c>
      <c r="O26" s="81">
        <f>INDEX([2]!tbl_Forecast,MATCH($D$8&amp;$C26&amp;$D$7,[2]!rng_ForecastRowLookup,0),MATCH(O$11,[2]!rng_ForecastColumnLookup,0))</f>
        <v>166.11207268105238</v>
      </c>
      <c r="P26" s="81">
        <f>INDEX([2]!tbl_Forecast,MATCH($D$8&amp;$C26&amp;$D$7,[2]!rng_ForecastRowLookup,0),MATCH(P$11,[2]!rng_ForecastColumnLookup,0))</f>
        <v>165.7134037066179</v>
      </c>
      <c r="Q26" s="81">
        <f>INDEX([2]!tbl_Forecast,MATCH($D$8&amp;$C26&amp;$D$7,[2]!rng_ForecastRowLookup,0),MATCH(Q$11,[2]!rng_ForecastColumnLookup,0))</f>
        <v>165.31569153772202</v>
      </c>
      <c r="R26" s="81">
        <f>INDEX([2]!tbl_Forecast,MATCH($D$8&amp;$C26&amp;$D$7,[2]!rng_ForecastRowLookup,0),MATCH(R$11,[2]!rng_ForecastColumnLookup,0))</f>
        <v>164.91893387803151</v>
      </c>
      <c r="S26" s="81">
        <f>INDEX([2]!tbl_Forecast,MATCH($D$8&amp;$C26&amp;$D$7,[2]!rng_ForecastRowLookup,0),MATCH(S$11,[2]!rng_ForecastColumnLookup,0))</f>
        <v>164.52312843672422</v>
      </c>
      <c r="T26" s="81">
        <f>INDEX([2]!tbl_Forecast,MATCH($D$8&amp;$C26&amp;$D$7,[2]!rng_ForecastRowLookup,0),MATCH(T$11,[2]!rng_ForecastColumnLookup,0))</f>
        <v>164.12827292847609</v>
      </c>
      <c r="U26" s="81">
        <f>INDEX([2]!tbl_Forecast,MATCH($D$8&amp;$C26&amp;$D$7,[2]!rng_ForecastRowLookup,0),MATCH(U$11,[2]!rng_ForecastColumnLookup,0))</f>
        <v>163.73436507344778</v>
      </c>
      <c r="V26" s="81">
        <f>INDEX([2]!tbl_Forecast,MATCH($D$8&amp;$C26&amp;$D$7,[2]!rng_ForecastRowLookup,0),MATCH(V$11,[2]!rng_ForecastColumnLookup,0))</f>
        <v>163.3414025972715</v>
      </c>
      <c r="W26" s="81">
        <f>INDEX([2]!tbl_Forecast,MATCH($D$8&amp;$C26&amp;$D$7,[2]!rng_ForecastRowLookup,0),MATCH(W$11,[2]!rng_ForecastColumnLookup,0))</f>
        <v>162.94938323103807</v>
      </c>
      <c r="X26" s="81">
        <f>INDEX([2]!tbl_Forecast,MATCH($D$8&amp;$C26&amp;$D$7,[2]!rng_ForecastRowLookup,0),MATCH(X$11,[2]!rng_ForecastColumnLookup,0))</f>
        <v>162.55830471128357</v>
      </c>
      <c r="Y26" s="84"/>
    </row>
    <row r="27" spans="2:25">
      <c r="C27" s="71" t="s">
        <v>304</v>
      </c>
      <c r="E27" s="81">
        <f>INDEX([2]!tbl_Forecast,MATCH($D$8&amp;$C27&amp;$D$7,[2]!rng_ForecastRowLookup,0),MATCH(E$11,[2]!rng_ForecastColumnLookup,0))</f>
        <v>105.02947953487826</v>
      </c>
      <c r="F27" s="81">
        <f>INDEX([2]!tbl_Forecast,MATCH($D$8&amp;$C27&amp;$D$7,[2]!rng_ForecastRowLookup,0),MATCH(F$11,[2]!rng_ForecastColumnLookup,0))</f>
        <v>104.80891762785501</v>
      </c>
      <c r="G27" s="81">
        <f>INDEX([2]!tbl_Forecast,MATCH($D$8&amp;$C27&amp;$D$7,[2]!rng_ForecastRowLookup,0),MATCH(G$11,[2]!rng_ForecastColumnLookup,0))</f>
        <v>104.58881890083651</v>
      </c>
      <c r="H27" s="81">
        <f>INDEX([2]!tbl_Forecast,MATCH($D$8&amp;$C27&amp;$D$7,[2]!rng_ForecastRowLookup,0),MATCH(H$11,[2]!rng_ForecastColumnLookup,0))</f>
        <v>104.36918238114475</v>
      </c>
      <c r="I27" s="81">
        <f>INDEX([2]!tbl_Forecast,MATCH($D$8&amp;$C27&amp;$D$7,[2]!rng_ForecastRowLookup,0),MATCH(I$11,[2]!rng_ForecastColumnLookup,0))</f>
        <v>104.15000709814436</v>
      </c>
      <c r="J27" s="81">
        <f>INDEX([2]!tbl_Forecast,MATCH($D$8&amp;$C27&amp;$D$7,[2]!rng_ForecastRowLookup,0),MATCH(J$11,[2]!rng_ForecastColumnLookup,0))</f>
        <v>103.93129208323826</v>
      </c>
      <c r="K27" s="81">
        <f>INDEX([2]!tbl_Forecast,MATCH($D$8&amp;$C27&amp;$D$7,[2]!rng_ForecastRowLookup,0),MATCH(K$11,[2]!rng_ForecastColumnLookup,0))</f>
        <v>103.71303636986346</v>
      </c>
      <c r="L27" s="81">
        <f>INDEX([2]!tbl_Forecast,MATCH($D$8&amp;$C27&amp;$D$7,[2]!rng_ForecastRowLookup,0),MATCH(L$11,[2]!rng_ForecastColumnLookup,0))</f>
        <v>103.49523899348674</v>
      </c>
      <c r="M27" s="81">
        <f>INDEX([2]!tbl_Forecast,MATCH($D$8&amp;$C27&amp;$D$7,[2]!rng_ForecastRowLookup,0),MATCH(M$11,[2]!rng_ForecastColumnLookup,0))</f>
        <v>103.27789899160042</v>
      </c>
      <c r="N27" s="81">
        <f>INDEX([2]!tbl_Forecast,MATCH($D$8&amp;$C27&amp;$D$7,[2]!rng_ForecastRowLookup,0),MATCH(N$11,[2]!rng_ForecastColumnLookup,0))</f>
        <v>103.06101540371807</v>
      </c>
      <c r="O27" s="81">
        <f>INDEX([2]!tbl_Forecast,MATCH($D$8&amp;$C27&amp;$D$7,[2]!rng_ForecastRowLookup,0),MATCH(O$11,[2]!rng_ForecastColumnLookup,0))</f>
        <v>102.84458727137024</v>
      </c>
      <c r="P27" s="81">
        <f>INDEX([2]!tbl_Forecast,MATCH($D$8&amp;$C27&amp;$D$7,[2]!rng_ForecastRowLookup,0),MATCH(P$11,[2]!rng_ForecastColumnLookup,0))</f>
        <v>102.62861363810038</v>
      </c>
      <c r="Q27" s="81">
        <f>INDEX([2]!tbl_Forecast,MATCH($D$8&amp;$C27&amp;$D$7,[2]!rng_ForecastRowLookup,0),MATCH(Q$11,[2]!rng_ForecastColumnLookup,0))</f>
        <v>102.41309354946036</v>
      </c>
      <c r="R27" s="81">
        <f>INDEX([2]!tbl_Forecast,MATCH($D$8&amp;$C27&amp;$D$7,[2]!rng_ForecastRowLookup,0),MATCH(R$11,[2]!rng_ForecastColumnLookup,0))</f>
        <v>102.19802605300649</v>
      </c>
      <c r="S27" s="81">
        <f>INDEX([2]!tbl_Forecast,MATCH($D$8&amp;$C27&amp;$D$7,[2]!rng_ForecastRowLookup,0),MATCH(S$11,[2]!rng_ForecastColumnLookup,0))</f>
        <v>101.98341019829519</v>
      </c>
      <c r="T27" s="81">
        <f>INDEX([2]!tbl_Forecast,MATCH($D$8&amp;$C27&amp;$D$7,[2]!rng_ForecastRowLookup,0),MATCH(T$11,[2]!rng_ForecastColumnLookup,0))</f>
        <v>101.76924503687877</v>
      </c>
      <c r="U27" s="81">
        <f>INDEX([2]!tbl_Forecast,MATCH($D$8&amp;$C27&amp;$D$7,[2]!rng_ForecastRowLookup,0),MATCH(U$11,[2]!rng_ForecastColumnLookup,0))</f>
        <v>101.55552962230132</v>
      </c>
      <c r="V27" s="81">
        <f>INDEX([2]!tbl_Forecast,MATCH($D$8&amp;$C27&amp;$D$7,[2]!rng_ForecastRowLookup,0),MATCH(V$11,[2]!rng_ForecastColumnLookup,0))</f>
        <v>101.3422630100945</v>
      </c>
      <c r="W27" s="81">
        <f>INDEX([2]!tbl_Forecast,MATCH($D$8&amp;$C27&amp;$D$7,[2]!rng_ForecastRowLookup,0),MATCH(W$11,[2]!rng_ForecastColumnLookup,0))</f>
        <v>101.1294442577733</v>
      </c>
      <c r="X27" s="81">
        <f>INDEX([2]!tbl_Forecast,MATCH($D$8&amp;$C27&amp;$D$7,[2]!rng_ForecastRowLookup,0),MATCH(X$11,[2]!rng_ForecastColumnLookup,0))</f>
        <v>100.91707242483197</v>
      </c>
      <c r="Y27" s="84"/>
    </row>
    <row r="28" spans="2:25">
      <c r="C28" s="106" t="s">
        <v>51</v>
      </c>
      <c r="E28" s="81">
        <f>INDEX([2]!tbl_Forecast,MATCH($D$8&amp;$C28&amp;$D$7,[2]!rng_ForecastRowLookup,0),MATCH(E$11,[2]!rng_ForecastColumnLookup,0))</f>
        <v>128.74820917277606</v>
      </c>
      <c r="F28" s="81">
        <f>INDEX([2]!tbl_Forecast,MATCH($D$8&amp;$C28&amp;$D$7,[2]!rng_ForecastRowLookup,0),MATCH(F$11,[2]!rng_ForecastColumnLookup,0))</f>
        <v>128.43921347076139</v>
      </c>
      <c r="G28" s="81">
        <f>INDEX([2]!tbl_Forecast,MATCH($D$8&amp;$C28&amp;$D$7,[2]!rng_ForecastRowLookup,0),MATCH(G$11,[2]!rng_ForecastColumnLookup,0))</f>
        <v>128.1309593584316</v>
      </c>
      <c r="H28" s="81">
        <f>INDEX([2]!tbl_Forecast,MATCH($D$8&amp;$C28&amp;$D$7,[2]!rng_ForecastRowLookup,0),MATCH(H$11,[2]!rng_ForecastColumnLookup,0))</f>
        <v>127.82344505597135</v>
      </c>
      <c r="I28" s="81">
        <f>INDEX([2]!tbl_Forecast,MATCH($D$8&amp;$C28&amp;$D$7,[2]!rng_ForecastRowLookup,0),MATCH(I$11,[2]!rng_ForecastColumnLookup,0))</f>
        <v>127.51666878783702</v>
      </c>
      <c r="J28" s="81">
        <f>INDEX([2]!tbl_Forecast,MATCH($D$8&amp;$C28&amp;$D$7,[2]!rng_ForecastRowLookup,0),MATCH(J$11,[2]!rng_ForecastColumnLookup,0))</f>
        <v>127.21062878274621</v>
      </c>
      <c r="K28" s="81">
        <f>INDEX([2]!tbl_Forecast,MATCH($D$8&amp;$C28&amp;$D$7,[2]!rng_ForecastRowLookup,0),MATCH(K$11,[2]!rng_ForecastColumnLookup,0))</f>
        <v>126.90532327366765</v>
      </c>
      <c r="L28" s="81">
        <f>INDEX([2]!tbl_Forecast,MATCH($D$8&amp;$C28&amp;$D$7,[2]!rng_ForecastRowLookup,0),MATCH(L$11,[2]!rng_ForecastColumnLookup,0))</f>
        <v>126.60075049781085</v>
      </c>
      <c r="M28" s="81">
        <f>INDEX([2]!tbl_Forecast,MATCH($D$8&amp;$C28&amp;$D$7,[2]!rng_ForecastRowLookup,0),MATCH(M$11,[2]!rng_ForecastColumnLookup,0))</f>
        <v>126.29690869661611</v>
      </c>
      <c r="N28" s="81">
        <f>INDEX([2]!tbl_Forecast,MATCH($D$8&amp;$C28&amp;$D$7,[2]!rng_ForecastRowLookup,0),MATCH(N$11,[2]!rng_ForecastColumnLookup,0))</f>
        <v>125.99379611574425</v>
      </c>
      <c r="O28" s="81">
        <f>INDEX([2]!tbl_Forecast,MATCH($D$8&amp;$C28&amp;$D$7,[2]!rng_ForecastRowLookup,0),MATCH(O$11,[2]!rng_ForecastColumnLookup,0))</f>
        <v>125.69141100506647</v>
      </c>
      <c r="P28" s="81">
        <f>INDEX([2]!tbl_Forecast,MATCH($D$8&amp;$C28&amp;$D$7,[2]!rng_ForecastRowLookup,0),MATCH(P$11,[2]!rng_ForecastColumnLookup,0))</f>
        <v>125.3897516186543</v>
      </c>
      <c r="Q28" s="81">
        <f>INDEX([2]!tbl_Forecast,MATCH($D$8&amp;$C28&amp;$D$7,[2]!rng_ForecastRowLookup,0),MATCH(Q$11,[2]!rng_ForecastColumnLookup,0))</f>
        <v>125.08881621476955</v>
      </c>
      <c r="R28" s="81">
        <f>INDEX([2]!tbl_Forecast,MATCH($D$8&amp;$C28&amp;$D$7,[2]!rng_ForecastRowLookup,0),MATCH(R$11,[2]!rng_ForecastColumnLookup,0))</f>
        <v>124.78860305585408</v>
      </c>
      <c r="S28" s="81">
        <f>INDEX([2]!tbl_Forecast,MATCH($D$8&amp;$C28&amp;$D$7,[2]!rng_ForecastRowLookup,0),MATCH(S$11,[2]!rng_ForecastColumnLookup,0))</f>
        <v>124.48911040852005</v>
      </c>
      <c r="T28" s="81">
        <f>INDEX([2]!tbl_Forecast,MATCH($D$8&amp;$C28&amp;$D$7,[2]!rng_ForecastRowLookup,0),MATCH(T$11,[2]!rng_ForecastColumnLookup,0))</f>
        <v>124.1903365435396</v>
      </c>
      <c r="U28" s="81">
        <f>INDEX([2]!tbl_Forecast,MATCH($D$8&amp;$C28&amp;$D$7,[2]!rng_ForecastRowLookup,0),MATCH(U$11,[2]!rng_ForecastColumnLookup,0))</f>
        <v>123.8922797358351</v>
      </c>
      <c r="V28" s="81">
        <f>INDEX([2]!tbl_Forecast,MATCH($D$8&amp;$C28&amp;$D$7,[2]!rng_ForecastRowLookup,0),MATCH(V$11,[2]!rng_ForecastColumnLookup,0))</f>
        <v>123.59493826446912</v>
      </c>
      <c r="W28" s="81">
        <f>INDEX([2]!tbl_Forecast,MATCH($D$8&amp;$C28&amp;$D$7,[2]!rng_ForecastRowLookup,0),MATCH(W$11,[2]!rng_ForecastColumnLookup,0))</f>
        <v>123.29831041263438</v>
      </c>
      <c r="X28" s="81">
        <f>INDEX([2]!tbl_Forecast,MATCH($D$8&amp;$C28&amp;$D$7,[2]!rng_ForecastRowLookup,0),MATCH(X$11,[2]!rng_ForecastColumnLookup,0))</f>
        <v>123.00239446764408</v>
      </c>
      <c r="Y28" s="84"/>
    </row>
    <row r="29" spans="2:25">
      <c r="C29" s="71" t="s">
        <v>46</v>
      </c>
      <c r="E29" s="81">
        <f>INDEX([2]!tbl_Forecast,MATCH($D$8&amp;$C29&amp;$D$7,[2]!rng_ForecastRowLookup,0),MATCH(E$11,[2]!rng_ForecastColumnLookup,0))</f>
        <v>375.90224900649127</v>
      </c>
      <c r="F29" s="81">
        <f>INDEX([2]!tbl_Forecast,MATCH($D$8&amp;$C29&amp;$D$7,[2]!rng_ForecastRowLookup,0),MATCH(F$11,[2]!rng_ForecastColumnLookup,0))</f>
        <v>374.21570091594884</v>
      </c>
      <c r="G29" s="81">
        <f>INDEX([2]!tbl_Forecast,MATCH($D$8&amp;$C29&amp;$D$7,[2]!rng_ForecastRowLookup,0),MATCH(G$11,[2]!rng_ForecastColumnLookup,0))</f>
        <v>372.53671980450594</v>
      </c>
      <c r="H29" s="81">
        <f>INDEX([2]!tbl_Forecast,MATCH($D$8&amp;$C29&amp;$D$7,[2]!rng_ForecastRowLookup,0),MATCH(H$11,[2]!rng_ForecastColumnLookup,0))</f>
        <v>370.86527172164978</v>
      </c>
      <c r="I29" s="81">
        <f>INDEX([2]!tbl_Forecast,MATCH($D$8&amp;$C29&amp;$D$7,[2]!rng_ForecastRowLookup,0),MATCH(I$11,[2]!rng_ForecastColumnLookup,0))</f>
        <v>369.20132286919198</v>
      </c>
      <c r="J29" s="81">
        <f>INDEX([2]!tbl_Forecast,MATCH($D$8&amp;$C29&amp;$D$7,[2]!rng_ForecastRowLookup,0),MATCH(J$11,[2]!rng_ForecastColumnLookup,0))</f>
        <v>367.54483960058553</v>
      </c>
      <c r="K29" s="81">
        <f>INDEX([2]!tbl_Forecast,MATCH($D$8&amp;$C29&amp;$D$7,[2]!rng_ForecastRowLookup,0),MATCH(K$11,[2]!rng_ForecastColumnLookup,0))</f>
        <v>365.89578842024423</v>
      </c>
      <c r="L29" s="81">
        <f>INDEX([2]!tbl_Forecast,MATCH($D$8&amp;$C29&amp;$D$7,[2]!rng_ForecastRowLookup,0),MATCH(L$11,[2]!rng_ForecastColumnLookup,0))</f>
        <v>364.25413598286536</v>
      </c>
      <c r="M29" s="81">
        <f>INDEX([2]!tbl_Forecast,MATCH($D$8&amp;$C29&amp;$D$7,[2]!rng_ForecastRowLookup,0),MATCH(M$11,[2]!rng_ForecastColumnLookup,0))</f>
        <v>362.6198490927556</v>
      </c>
      <c r="N29" s="81">
        <f>INDEX([2]!tbl_Forecast,MATCH($D$8&amp;$C29&amp;$D$7,[2]!rng_ForecastRowLookup,0),MATCH(N$11,[2]!rng_ForecastColumnLookup,0))</f>
        <v>360.99289470315949</v>
      </c>
      <c r="O29" s="81">
        <f>INDEX([2]!tbl_Forecast,MATCH($D$8&amp;$C29&amp;$D$7,[2]!rng_ForecastRowLookup,0),MATCH(O$11,[2]!rng_ForecastColumnLookup,0))</f>
        <v>359.37323991559134</v>
      </c>
      <c r="P29" s="81">
        <f>INDEX([2]!tbl_Forecast,MATCH($D$8&amp;$C29&amp;$D$7,[2]!rng_ForecastRowLookup,0),MATCH(P$11,[2]!rng_ForecastColumnLookup,0))</f>
        <v>357.76085197917007</v>
      </c>
      <c r="Q29" s="81">
        <f>INDEX([2]!tbl_Forecast,MATCH($D$8&amp;$C29&amp;$D$7,[2]!rng_ForecastRowLookup,0),MATCH(Q$11,[2]!rng_ForecastColumnLookup,0))</f>
        <v>356.15569828995689</v>
      </c>
      <c r="R29" s="81">
        <f>INDEX([2]!tbl_Forecast,MATCH($D$8&amp;$C29&amp;$D$7,[2]!rng_ForecastRowLookup,0),MATCH(R$11,[2]!rng_ForecastColumnLookup,0))</f>
        <v>354.55774639029596</v>
      </c>
      <c r="S29" s="81">
        <f>INDEX([2]!tbl_Forecast,MATCH($D$8&amp;$C29&amp;$D$7,[2]!rng_ForecastRowLookup,0),MATCH(S$11,[2]!rng_ForecastColumnLookup,0))</f>
        <v>352.96696396815821</v>
      </c>
      <c r="T29" s="81">
        <f>INDEX([2]!tbl_Forecast,MATCH($D$8&amp;$C29&amp;$D$7,[2]!rng_ForecastRowLookup,0),MATCH(T$11,[2]!rng_ForecastColumnLookup,0))</f>
        <v>351.38331885648773</v>
      </c>
      <c r="U29" s="81">
        <f>INDEX([2]!tbl_Forecast,MATCH($D$8&amp;$C29&amp;$D$7,[2]!rng_ForecastRowLookup,0),MATCH(U$11,[2]!rng_ForecastColumnLookup,0))</f>
        <v>349.80677903255156</v>
      </c>
      <c r="V29" s="81">
        <f>INDEX([2]!tbl_Forecast,MATCH($D$8&amp;$C29&amp;$D$7,[2]!rng_ForecastRowLookup,0),MATCH(V$11,[2]!rng_ForecastColumnLookup,0))</f>
        <v>348.23731261729228</v>
      </c>
      <c r="W29" s="81">
        <f>INDEX([2]!tbl_Forecast,MATCH($D$8&amp;$C29&amp;$D$7,[2]!rng_ForecastRowLookup,0),MATCH(W$11,[2]!rng_ForecastColumnLookup,0))</f>
        <v>346.67488787468267</v>
      </c>
      <c r="X29" s="81">
        <f>INDEX([2]!tbl_Forecast,MATCH($D$8&amp;$C29&amp;$D$7,[2]!rng_ForecastRowLookup,0),MATCH(X$11,[2]!rng_ForecastColumnLookup,0))</f>
        <v>345.11947321108494</v>
      </c>
      <c r="Y29" s="84"/>
    </row>
    <row r="30" spans="2:25">
      <c r="C30" s="71" t="s">
        <v>55</v>
      </c>
      <c r="E30" s="81">
        <f>INDEX([2]!tbl_Forecast,MATCH($D$8&amp;$C30&amp;$D$7,[2]!rng_ForecastRowLookup,0),MATCH(E$11,[2]!rng_ForecastColumnLookup,0))</f>
        <v>342.64988330108076</v>
      </c>
      <c r="F30" s="81">
        <f>INDEX([2]!tbl_Forecast,MATCH($D$8&amp;$C30&amp;$D$7,[2]!rng_ForecastRowLookup,0),MATCH(F$11,[2]!rng_ForecastColumnLookup,0))</f>
        <v>339.56603435137106</v>
      </c>
      <c r="G30" s="81">
        <f>INDEX([2]!tbl_Forecast,MATCH($D$8&amp;$C30&amp;$D$7,[2]!rng_ForecastRowLookup,0),MATCH(G$11,[2]!rng_ForecastColumnLookup,0))</f>
        <v>336.50994004220871</v>
      </c>
      <c r="H30" s="81">
        <f>INDEX([2]!tbl_Forecast,MATCH($D$8&amp;$C30&amp;$D$7,[2]!rng_ForecastRowLookup,0),MATCH(H$11,[2]!rng_ForecastColumnLookup,0))</f>
        <v>333.48135058182885</v>
      </c>
      <c r="I30" s="81">
        <f>INDEX([2]!tbl_Forecast,MATCH($D$8&amp;$C30&amp;$D$7,[2]!rng_ForecastRowLookup,0),MATCH(I$11,[2]!rng_ForecastColumnLookup,0))</f>
        <v>330.48001842659238</v>
      </c>
      <c r="J30" s="81">
        <f>INDEX([2]!tbl_Forecast,MATCH($D$8&amp;$C30&amp;$D$7,[2]!rng_ForecastRowLookup,0),MATCH(J$11,[2]!rng_ForecastColumnLookup,0))</f>
        <v>327.50569826075304</v>
      </c>
      <c r="K30" s="81">
        <f>INDEX([2]!tbl_Forecast,MATCH($D$8&amp;$C30&amp;$D$7,[2]!rng_ForecastRowLookup,0),MATCH(K$11,[2]!rng_ForecastColumnLookup,0))</f>
        <v>324.55814697640625</v>
      </c>
      <c r="L30" s="81">
        <f>INDEX([2]!tbl_Forecast,MATCH($D$8&amp;$C30&amp;$D$7,[2]!rng_ForecastRowLookup,0),MATCH(L$11,[2]!rng_ForecastColumnLookup,0))</f>
        <v>321.63712365361863</v>
      </c>
      <c r="M30" s="81">
        <f>INDEX([2]!tbl_Forecast,MATCH($D$8&amp;$C30&amp;$D$7,[2]!rng_ForecastRowLookup,0),MATCH(M$11,[2]!rng_ForecastColumnLookup,0))</f>
        <v>318.7423895407361</v>
      </c>
      <c r="N30" s="81">
        <f>INDEX([2]!tbl_Forecast,MATCH($D$8&amp;$C30&amp;$D$7,[2]!rng_ForecastRowLookup,0),MATCH(N$11,[2]!rng_ForecastColumnLookup,0))</f>
        <v>315.87370803486942</v>
      </c>
      <c r="O30" s="81">
        <f>INDEX([2]!tbl_Forecast,MATCH($D$8&amp;$C30&amp;$D$7,[2]!rng_ForecastRowLookup,0),MATCH(O$11,[2]!rng_ForecastColumnLookup,0))</f>
        <v>313.03084466255564</v>
      </c>
      <c r="P30" s="81">
        <f>INDEX([2]!tbl_Forecast,MATCH($D$8&amp;$C30&amp;$D$7,[2]!rng_ForecastRowLookup,0),MATCH(P$11,[2]!rng_ForecastColumnLookup,0))</f>
        <v>310.21356706059254</v>
      </c>
      <c r="Q30" s="81">
        <f>INDEX([2]!tbl_Forecast,MATCH($D$8&amp;$C30&amp;$D$7,[2]!rng_ForecastRowLookup,0),MATCH(Q$11,[2]!rng_ForecastColumnLookup,0))</f>
        <v>307.42164495704725</v>
      </c>
      <c r="R30" s="81">
        <f>INDEX([2]!tbl_Forecast,MATCH($D$8&amp;$C30&amp;$D$7,[2]!rng_ForecastRowLookup,0),MATCH(R$11,[2]!rng_ForecastColumnLookup,0))</f>
        <v>304.65485015243382</v>
      </c>
      <c r="S30" s="81">
        <f>INDEX([2]!tbl_Forecast,MATCH($D$8&amp;$C30&amp;$D$7,[2]!rng_ForecastRowLookup,0),MATCH(S$11,[2]!rng_ForecastColumnLookup,0))</f>
        <v>301.9129565010619</v>
      </c>
      <c r="T30" s="81">
        <f>INDEX([2]!tbl_Forecast,MATCH($D$8&amp;$C30&amp;$D$7,[2]!rng_ForecastRowLookup,0),MATCH(T$11,[2]!rng_ForecastColumnLookup,0))</f>
        <v>299.19573989255235</v>
      </c>
      <c r="U30" s="81">
        <f>INDEX([2]!tbl_Forecast,MATCH($D$8&amp;$C30&amp;$D$7,[2]!rng_ForecastRowLookup,0),MATCH(U$11,[2]!rng_ForecastColumnLookup,0))</f>
        <v>296.50297823351934</v>
      </c>
      <c r="V30" s="81">
        <f>INDEX([2]!tbl_Forecast,MATCH($D$8&amp;$C30&amp;$D$7,[2]!rng_ForecastRowLookup,0),MATCH(V$11,[2]!rng_ForecastColumnLookup,0))</f>
        <v>293.83445142941764</v>
      </c>
      <c r="W30" s="81">
        <f>INDEX([2]!tbl_Forecast,MATCH($D$8&amp;$C30&amp;$D$7,[2]!rng_ForecastRowLookup,0),MATCH(W$11,[2]!rng_ForecastColumnLookup,0))</f>
        <v>291.18994136655289</v>
      </c>
      <c r="X30" s="81">
        <f>INDEX([2]!tbl_Forecast,MATCH($D$8&amp;$C30&amp;$D$7,[2]!rng_ForecastRowLookup,0),MATCH(X$11,[2]!rng_ForecastColumnLookup,0))</f>
        <v>288.5692318942539</v>
      </c>
      <c r="Y30" s="84"/>
    </row>
    <row r="31" spans="2:25">
      <c r="B31" s="301"/>
      <c r="E31" s="85">
        <f>SUM(E13:E30)</f>
        <v>3371.0405269479006</v>
      </c>
      <c r="F31" s="85">
        <f t="shared" ref="F31:X31" si="2">SUM(F13:F30)</f>
        <v>3356.5369104716883</v>
      </c>
      <c r="G31" s="85">
        <f t="shared" si="2"/>
        <v>3342.1075656435023</v>
      </c>
      <c r="H31" s="85">
        <f t="shared" si="2"/>
        <v>3327.7520346049623</v>
      </c>
      <c r="I31" s="85">
        <f t="shared" si="2"/>
        <v>3313.4698627952139</v>
      </c>
      <c r="J31" s="85">
        <f t="shared" si="2"/>
        <v>3299.2605989245808</v>
      </c>
      <c r="K31" s="85">
        <f t="shared" si="2"/>
        <v>3285.1237949484457</v>
      </c>
      <c r="L31" s="85">
        <f t="shared" si="2"/>
        <v>3271.0590060413433</v>
      </c>
      <c r="M31" s="85">
        <f t="shared" si="2"/>
        <v>3257.0657905712806</v>
      </c>
      <c r="N31" s="85">
        <f t="shared" si="2"/>
        <v>3243.1437100742696</v>
      </c>
      <c r="O31" s="85">
        <f t="shared" si="2"/>
        <v>3229.2923292290834</v>
      </c>
      <c r="P31" s="85">
        <f t="shared" si="2"/>
        <v>3215.5112158322117</v>
      </c>
      <c r="Q31" s="85">
        <f t="shared" si="2"/>
        <v>3201.7999407730422</v>
      </c>
      <c r="R31" s="85">
        <f t="shared" si="2"/>
        <v>3188.1580780092468</v>
      </c>
      <c r="S31" s="85">
        <f t="shared" si="2"/>
        <v>3174.5852045423726</v>
      </c>
      <c r="T31" s="85">
        <f t="shared" si="2"/>
        <v>3161.0809003936483</v>
      </c>
      <c r="U31" s="85">
        <f t="shared" si="2"/>
        <v>3147.644748579979</v>
      </c>
      <c r="V31" s="85">
        <f t="shared" si="2"/>
        <v>3134.2763350901637</v>
      </c>
      <c r="W31" s="85">
        <f t="shared" si="2"/>
        <v>3120.9752488612994</v>
      </c>
      <c r="X31" s="85">
        <f t="shared" si="2"/>
        <v>3107.74108175539</v>
      </c>
      <c r="Y31" s="87"/>
    </row>
    <row r="32" spans="2:25">
      <c r="E32" s="83"/>
      <c r="F32" s="83"/>
      <c r="G32" s="83"/>
      <c r="H32" s="83"/>
      <c r="I32" s="83"/>
      <c r="J32" s="83"/>
      <c r="K32" s="83"/>
      <c r="L32" s="83"/>
      <c r="M32" s="83"/>
      <c r="N32" s="83"/>
      <c r="O32" s="83"/>
      <c r="P32" s="83"/>
      <c r="Q32" s="83"/>
      <c r="R32" s="83"/>
      <c r="S32" s="83"/>
      <c r="T32" s="83"/>
      <c r="U32" s="83"/>
      <c r="V32" s="83"/>
      <c r="W32" s="83"/>
      <c r="X32" s="83"/>
      <c r="Y32" s="84"/>
    </row>
    <row r="33" spans="1:26">
      <c r="A33" s="70"/>
      <c r="B33" s="70"/>
      <c r="E33" s="85"/>
      <c r="F33" s="85"/>
      <c r="G33" s="85"/>
      <c r="H33" s="85"/>
      <c r="I33" s="85"/>
      <c r="J33" s="85"/>
      <c r="K33" s="85"/>
      <c r="L33" s="85"/>
      <c r="M33" s="85"/>
      <c r="N33" s="85"/>
      <c r="O33" s="85"/>
      <c r="P33" s="85"/>
      <c r="Q33" s="85"/>
      <c r="R33" s="85"/>
      <c r="S33" s="85"/>
      <c r="T33" s="85"/>
      <c r="U33" s="85"/>
      <c r="V33" s="85"/>
      <c r="W33" s="85"/>
      <c r="X33" s="85"/>
      <c r="Y33" s="70"/>
    </row>
    <row r="34" spans="1:26">
      <c r="A34" s="80"/>
      <c r="B34" s="80"/>
      <c r="C34" s="80"/>
      <c r="D34" s="291" t="s">
        <v>185</v>
      </c>
      <c r="E34" s="80">
        <f>E11</f>
        <v>2016</v>
      </c>
      <c r="F34" s="80">
        <f t="shared" ref="F34:X34" si="3">F11</f>
        <v>2017</v>
      </c>
      <c r="G34" s="80">
        <f t="shared" si="3"/>
        <v>2018</v>
      </c>
      <c r="H34" s="80">
        <f t="shared" si="3"/>
        <v>2019</v>
      </c>
      <c r="I34" s="80">
        <f t="shared" si="3"/>
        <v>2020</v>
      </c>
      <c r="J34" s="80">
        <f t="shared" si="3"/>
        <v>2021</v>
      </c>
      <c r="K34" s="80">
        <f t="shared" si="3"/>
        <v>2022</v>
      </c>
      <c r="L34" s="80">
        <f t="shared" si="3"/>
        <v>2023</v>
      </c>
      <c r="M34" s="80">
        <f t="shared" si="3"/>
        <v>2024</v>
      </c>
      <c r="N34" s="80">
        <f t="shared" si="3"/>
        <v>2025</v>
      </c>
      <c r="O34" s="80">
        <f t="shared" si="3"/>
        <v>2026</v>
      </c>
      <c r="P34" s="80">
        <f t="shared" si="3"/>
        <v>2027</v>
      </c>
      <c r="Q34" s="80">
        <f t="shared" si="3"/>
        <v>2028</v>
      </c>
      <c r="R34" s="80">
        <f t="shared" si="3"/>
        <v>2029</v>
      </c>
      <c r="S34" s="80">
        <f t="shared" si="3"/>
        <v>2030</v>
      </c>
      <c r="T34" s="80">
        <f t="shared" si="3"/>
        <v>2031</v>
      </c>
      <c r="U34" s="80">
        <f t="shared" si="3"/>
        <v>2032</v>
      </c>
      <c r="V34" s="80">
        <f t="shared" si="3"/>
        <v>2033</v>
      </c>
      <c r="W34" s="80">
        <f t="shared" si="3"/>
        <v>2034</v>
      </c>
      <c r="X34" s="80">
        <f t="shared" si="3"/>
        <v>2035</v>
      </c>
      <c r="Y34" s="300">
        <v>0.85</v>
      </c>
    </row>
    <row r="35" spans="1:26">
      <c r="A35" s="80" t="s">
        <v>687</v>
      </c>
      <c r="B35" s="80"/>
      <c r="C35" s="80" t="str">
        <f>C8</f>
        <v>Advanced Rooftop Controller-Retro</v>
      </c>
      <c r="D35" s="291" t="str">
        <f>VLOOKUP(C35,[1]ACHIEV!$B$14:$C$96,2,FALSE)</f>
        <v>Retro3Slow</v>
      </c>
      <c r="E35" s="86">
        <f>VLOOKUP($C$35,[1]!ACHIEV,MATCH(E$11,$E$11:$X$11,0)+2,FALSE)</f>
        <v>5.5320496977002724E-3</v>
      </c>
      <c r="F35" s="86">
        <f>VLOOKUP($C$35,[1]!ACHIEV,MATCH(F$11,$E$11:$X$11,0)+2,FALSE)</f>
        <v>8.6958686465615706E-3</v>
      </c>
      <c r="G35" s="86">
        <f>VLOOKUP($C$35,[1]!ACHIEV,MATCH(G$11,$E$11:$X$11,0)+2,FALSE)</f>
        <v>1.7391737293123145E-2</v>
      </c>
      <c r="H35" s="86">
        <f>VLOOKUP($C$35,[1]!ACHIEV,MATCH(H$11,$E$11:$X$11,0)+2,FALSE)</f>
        <v>3.0435540262965514E-2</v>
      </c>
      <c r="I35" s="86">
        <f>VLOOKUP($C$35,[1]!ACHIEV,MATCH(I$11,$E$11:$X$11,0)+2,FALSE)</f>
        <v>4.7344173742390784E-2</v>
      </c>
      <c r="J35" s="86">
        <f>VLOOKUP($C$35,[1]!ACHIEV,MATCH(J$11,$E$11:$X$11,0)+2,FALSE)</f>
        <v>6.6281843239347063E-2</v>
      </c>
      <c r="K35" s="86">
        <f>VLOOKUP($C$35,[1]!ACHIEV,MATCH(K$11,$E$11:$X$11,0)+2,FALSE)</f>
        <v>8.4358709577350838E-2</v>
      </c>
      <c r="L35" s="86">
        <f>VLOOKUP($C$35,[1]!ACHIEV,MATCH(L$11,$E$11:$X$11,0)+2,FALSE)</f>
        <v>9.8418494506909315E-2</v>
      </c>
      <c r="M35" s="86">
        <f>VLOOKUP($C$35,[1]!ACHIEV,MATCH(M$11,$E$11:$X$11,0)+2,FALSE)</f>
        <v>0.10598914793051767</v>
      </c>
      <c r="N35" s="86">
        <f>VLOOKUP($C$35,[1]!ACHIEV,MATCH(N$11,$E$11:$X$11,0)+2,FALSE)</f>
        <v>0.10598914793051767</v>
      </c>
      <c r="O35" s="86">
        <f>VLOOKUP($C$35,[1]!ACHIEV,MATCH(O$11,$E$11:$X$11,0)+2,FALSE)</f>
        <v>9.8923204735149928E-2</v>
      </c>
      <c r="P35" s="86">
        <f>VLOOKUP($C$35,[1]!ACHIEV,MATCH(P$11,$E$11:$X$11,0)+2,FALSE)</f>
        <v>8.655780414325609E-2</v>
      </c>
      <c r="Q35" s="86">
        <f>VLOOKUP($C$35,[1]!ACHIEV,MATCH(Q$11,$E$11:$X$11,0)+2,FALSE)</f>
        <v>7.1282897529740263E-2</v>
      </c>
      <c r="R35" s="86">
        <f>VLOOKUP($C$35,[1]!ACHIEV,MATCH(R$11,$E$11:$X$11,0)+2,FALSE)</f>
        <v>5.5442253634242489E-2</v>
      </c>
      <c r="S35" s="86">
        <f>VLOOKUP($C$35,[1]!ACHIEV,MATCH(S$11,$E$11:$X$11,0)+2,FALSE)</f>
        <v>4.0852186888389319E-2</v>
      </c>
      <c r="T35" s="86">
        <f>VLOOKUP($C$35,[1]!ACHIEV,MATCH(T$11,$E$11:$X$11,0)+2,FALSE)</f>
        <v>2.8596530821872412E-2</v>
      </c>
      <c r="U35" s="86">
        <f>VLOOKUP($C$35,[1]!ACHIEV,MATCH(U$11,$E$11:$X$11,0)+2,FALSE)</f>
        <v>1.9064353881248275E-2</v>
      </c>
      <c r="V35" s="86">
        <f>VLOOKUP($C$35,[1]!ACHIEV,MATCH(V$11,$E$11:$X$11,0)+2,FALSE)</f>
        <v>1.2131861560794377E-2</v>
      </c>
      <c r="W35" s="86">
        <f>VLOOKUP($C$35,[1]!ACHIEV,MATCH(W$11,$E$11:$X$11,0)+2,FALSE)</f>
        <v>7.3846113848314854E-3</v>
      </c>
      <c r="X35" s="86">
        <f>VLOOKUP($C$35,[1]!ACHIEV,MATCH(X$11,$E$11:$X$11,0)+2,FALSE)</f>
        <v>4.3076899744848296E-3</v>
      </c>
      <c r="Y35" s="70"/>
    </row>
    <row r="36" spans="1:26">
      <c r="A36" s="71" t="s">
        <v>725</v>
      </c>
      <c r="C36" s="71" t="str">
        <f>C13</f>
        <v>Large Off</v>
      </c>
      <c r="E36" s="85">
        <f>E13*E$35*$Y$34</f>
        <v>1.7872671887775302</v>
      </c>
      <c r="F36" s="85">
        <f t="shared" ref="F36:X36" si="4">F13*F$35*$Y$34</f>
        <v>2.8009898743734212</v>
      </c>
      <c r="G36" s="85">
        <f t="shared" si="4"/>
        <v>5.5851738095006027</v>
      </c>
      <c r="H36" s="85">
        <f t="shared" si="4"/>
        <v>9.7447320041261811</v>
      </c>
      <c r="I36" s="85">
        <f t="shared" si="4"/>
        <v>15.112996590399243</v>
      </c>
      <c r="J36" s="85">
        <f t="shared" si="4"/>
        <v>21.094720640879252</v>
      </c>
      <c r="K36" s="85">
        <f t="shared" si="4"/>
        <v>26.767282791399335</v>
      </c>
      <c r="L36" s="85">
        <f t="shared" si="4"/>
        <v>31.134811100196</v>
      </c>
      <c r="M36" s="85">
        <f t="shared" si="4"/>
        <v>33.429207179733503</v>
      </c>
      <c r="N36" s="85">
        <f t="shared" si="4"/>
        <v>33.328919558194301</v>
      </c>
      <c r="O36" s="85">
        <f t="shared" si="4"/>
        <v>31.013670612885104</v>
      </c>
      <c r="P36" s="85">
        <f t="shared" si="4"/>
        <v>27.055550900915613</v>
      </c>
      <c r="Q36" s="85">
        <f t="shared" si="4"/>
        <v>22.214198792645874</v>
      </c>
      <c r="R36" s="85">
        <f t="shared" si="4"/>
        <v>17.225877041541747</v>
      </c>
      <c r="S36" s="85">
        <f t="shared" si="4"/>
        <v>12.654673249781073</v>
      </c>
      <c r="T36" s="85">
        <f t="shared" si="4"/>
        <v>8.8316964610221778</v>
      </c>
      <c r="U36" s="85">
        <f t="shared" si="4"/>
        <v>5.8701342477594061</v>
      </c>
      <c r="V36" s="85">
        <f t="shared" si="4"/>
        <v>3.7243333559193603</v>
      </c>
      <c r="W36" s="85">
        <f t="shared" si="4"/>
        <v>2.2601845644314484</v>
      </c>
      <c r="X36" s="85">
        <f t="shared" si="4"/>
        <v>1.3144856729305279</v>
      </c>
      <c r="Y36" s="87">
        <f>X13*$Y$34</f>
        <v>305.14862506736722</v>
      </c>
      <c r="Z36" s="370">
        <f>SUM(E36:X36)</f>
        <v>312.95090563741172</v>
      </c>
    </row>
    <row r="37" spans="1:26">
      <c r="C37" s="71" t="str">
        <f t="shared" ref="C37:C53" si="5">C14</f>
        <v>Medium Off</v>
      </c>
      <c r="E37" s="85">
        <f t="shared" ref="E37:X37" si="6">E14*E$35*$Y$34</f>
        <v>0.89689097392498052</v>
      </c>
      <c r="F37" s="85">
        <f t="shared" si="6"/>
        <v>1.4055998745767218</v>
      </c>
      <c r="G37" s="85">
        <f t="shared" si="6"/>
        <v>2.8027661499059837</v>
      </c>
      <c r="H37" s="85">
        <f t="shared" si="6"/>
        <v>4.8901262400484677</v>
      </c>
      <c r="I37" s="85">
        <f t="shared" si="6"/>
        <v>7.584042450955164</v>
      </c>
      <c r="J37" s="85">
        <f t="shared" si="6"/>
        <v>10.585806453043213</v>
      </c>
      <c r="K37" s="85">
        <f t="shared" si="6"/>
        <v>13.432426042870656</v>
      </c>
      <c r="L37" s="85">
        <f t="shared" si="6"/>
        <v>15.624150225532388</v>
      </c>
      <c r="M37" s="85">
        <f t="shared" si="6"/>
        <v>16.775529911383149</v>
      </c>
      <c r="N37" s="85">
        <f t="shared" si="6"/>
        <v>16.725203321649001</v>
      </c>
      <c r="O37" s="85">
        <f t="shared" si="6"/>
        <v>15.563359197571797</v>
      </c>
      <c r="P37" s="85">
        <f t="shared" si="6"/>
        <v>13.577085479981683</v>
      </c>
      <c r="Q37" s="85">
        <f t="shared" si="6"/>
        <v>11.147585831152012</v>
      </c>
      <c r="R37" s="85">
        <f t="shared" si="6"/>
        <v>8.644333501734442</v>
      </c>
      <c r="S37" s="85">
        <f t="shared" si="6"/>
        <v>6.3504003693268265</v>
      </c>
      <c r="T37" s="85">
        <f t="shared" si="6"/>
        <v>4.4319444177531739</v>
      </c>
      <c r="U37" s="85">
        <f t="shared" si="6"/>
        <v>2.9457657229999432</v>
      </c>
      <c r="V37" s="85">
        <f t="shared" si="6"/>
        <v>1.8689544528015123</v>
      </c>
      <c r="W37" s="85">
        <f t="shared" si="6"/>
        <v>1.1342115761827805</v>
      </c>
      <c r="X37" s="85">
        <f t="shared" si="6"/>
        <v>0.65963854918160436</v>
      </c>
      <c r="Y37" s="87">
        <f t="shared" ref="Y37:Y53" si="7">X14*$Y$34</f>
        <v>153.13046042977888</v>
      </c>
      <c r="Z37" s="370">
        <f t="shared" ref="Z37:Z53" si="8">SUM(E37:X37)</f>
        <v>157.04582074257553</v>
      </c>
    </row>
    <row r="38" spans="1:26">
      <c r="C38" s="71" t="str">
        <f t="shared" si="5"/>
        <v>Small Off</v>
      </c>
      <c r="E38" s="85">
        <f t="shared" ref="E38:X38" si="9">E15*E$35*$Y$34</f>
        <v>0.86564214890500013</v>
      </c>
      <c r="F38" s="85">
        <f t="shared" si="9"/>
        <v>1.3566269828811608</v>
      </c>
      <c r="G38" s="85">
        <f t="shared" si="9"/>
        <v>2.7051142038650355</v>
      </c>
      <c r="H38" s="85">
        <f t="shared" si="9"/>
        <v>4.7197480071935214</v>
      </c>
      <c r="I38" s="85">
        <f t="shared" si="9"/>
        <v>7.3198047427119066</v>
      </c>
      <c r="J38" s="85">
        <f t="shared" si="9"/>
        <v>10.216983459877273</v>
      </c>
      <c r="K38" s="85">
        <f t="shared" si="9"/>
        <v>12.964423193906095</v>
      </c>
      <c r="L38" s="85">
        <f t="shared" si="9"/>
        <v>15.079784911711771</v>
      </c>
      <c r="M38" s="85">
        <f t="shared" si="9"/>
        <v>16.191049061359447</v>
      </c>
      <c r="N38" s="85">
        <f t="shared" si="9"/>
        <v>16.142475914175368</v>
      </c>
      <c r="O38" s="85">
        <f t="shared" si="9"/>
        <v>15.021111920670668</v>
      </c>
      <c r="P38" s="85">
        <f t="shared" si="9"/>
        <v>13.104042511795058</v>
      </c>
      <c r="Q38" s="85">
        <f t="shared" si="9"/>
        <v>10.759189728213842</v>
      </c>
      <c r="R38" s="85">
        <f t="shared" si="9"/>
        <v>8.3431539014671667</v>
      </c>
      <c r="S38" s="85">
        <f t="shared" si="9"/>
        <v>6.1291443240357379</v>
      </c>
      <c r="T38" s="85">
        <f t="shared" si="9"/>
        <v>4.2775298237445254</v>
      </c>
      <c r="U38" s="85">
        <f t="shared" si="9"/>
        <v>2.8431314895155277</v>
      </c>
      <c r="V38" s="85">
        <f t="shared" si="9"/>
        <v>1.803837696848082</v>
      </c>
      <c r="W38" s="85">
        <f t="shared" si="9"/>
        <v>1.0946941988089545</v>
      </c>
      <c r="X38" s="85">
        <f t="shared" si="9"/>
        <v>0.63665590112394443</v>
      </c>
      <c r="Y38" s="87">
        <f t="shared" si="7"/>
        <v>147.79519995518808</v>
      </c>
      <c r="Z38" s="370">
        <f t="shared" si="8"/>
        <v>151.57414412281005</v>
      </c>
    </row>
    <row r="39" spans="1:26">
      <c r="C39" s="71" t="str">
        <f t="shared" si="5"/>
        <v>XLarge Ret</v>
      </c>
      <c r="E39" s="85">
        <f t="shared" ref="E39:X39" si="10">E16*E$35*$Y$34</f>
        <v>0.65058973170995404</v>
      </c>
      <c r="F39" s="85">
        <f t="shared" si="10"/>
        <v>1.0179624046008973</v>
      </c>
      <c r="G39" s="85">
        <f t="shared" si="10"/>
        <v>2.0265595550794662</v>
      </c>
      <c r="H39" s="85">
        <f t="shared" si="10"/>
        <v>3.5301654169706773</v>
      </c>
      <c r="I39" s="85">
        <f t="shared" si="10"/>
        <v>5.4661081316373945</v>
      </c>
      <c r="J39" s="85">
        <f t="shared" si="10"/>
        <v>7.6173496479246028</v>
      </c>
      <c r="K39" s="85">
        <f t="shared" si="10"/>
        <v>9.6502125230561955</v>
      </c>
      <c r="L39" s="85">
        <f t="shared" si="10"/>
        <v>11.206791803025158</v>
      </c>
      <c r="M39" s="85">
        <f t="shared" si="10"/>
        <v>12.013335988479794</v>
      </c>
      <c r="N39" s="85">
        <f t="shared" si="10"/>
        <v>11.958074642932786</v>
      </c>
      <c r="O39" s="85">
        <f t="shared" si="10"/>
        <v>11.109529666270289</v>
      </c>
      <c r="P39" s="85">
        <f t="shared" si="10"/>
        <v>9.6761226010797525</v>
      </c>
      <c r="Q39" s="85">
        <f t="shared" si="10"/>
        <v>7.9319161246827594</v>
      </c>
      <c r="R39" s="85">
        <f t="shared" si="10"/>
        <v>6.1408894637293985</v>
      </c>
      <c r="S39" s="85">
        <f t="shared" si="10"/>
        <v>4.5040515374077703</v>
      </c>
      <c r="T39" s="85">
        <f t="shared" si="10"/>
        <v>3.1383330302349748</v>
      </c>
      <c r="U39" s="85">
        <f t="shared" si="10"/>
        <v>2.082597798863929</v>
      </c>
      <c r="V39" s="85">
        <f t="shared" si="10"/>
        <v>1.3191931766294644</v>
      </c>
      <c r="W39" s="85">
        <f t="shared" si="10"/>
        <v>0.79929341009729904</v>
      </c>
      <c r="X39" s="85">
        <f t="shared" si="10"/>
        <v>0.46410971857297462</v>
      </c>
      <c r="Y39" s="87">
        <f t="shared" si="7"/>
        <v>107.73981445321608</v>
      </c>
      <c r="Z39" s="370">
        <f t="shared" si="8"/>
        <v>112.30318637298555</v>
      </c>
    </row>
    <row r="40" spans="1:26">
      <c r="C40" s="71" t="str">
        <f t="shared" si="5"/>
        <v>Large Ret</v>
      </c>
      <c r="E40" s="85">
        <f t="shared" ref="E40:X40" si="11">E17*E$35*$Y$34</f>
        <v>0.98256855303484081</v>
      </c>
      <c r="F40" s="85">
        <f t="shared" si="11"/>
        <v>1.5374018343383382</v>
      </c>
      <c r="G40" s="85">
        <f t="shared" si="11"/>
        <v>3.0606595718007648</v>
      </c>
      <c r="H40" s="85">
        <f t="shared" si="11"/>
        <v>5.3315159410983428</v>
      </c>
      <c r="I40" s="85">
        <f t="shared" si="11"/>
        <v>8.2553192831966715</v>
      </c>
      <c r="J40" s="85">
        <f t="shared" si="11"/>
        <v>11.504282740291549</v>
      </c>
      <c r="K40" s="85">
        <f t="shared" si="11"/>
        <v>14.574462050509721</v>
      </c>
      <c r="L40" s="85">
        <f t="shared" si="11"/>
        <v>16.925322779256938</v>
      </c>
      <c r="M40" s="85">
        <f t="shared" si="11"/>
        <v>18.143425240200987</v>
      </c>
      <c r="N40" s="85">
        <f t="shared" si="11"/>
        <v>18.059965484096068</v>
      </c>
      <c r="O40" s="85">
        <f t="shared" si="11"/>
        <v>16.778430333344627</v>
      </c>
      <c r="P40" s="85">
        <f t="shared" si="11"/>
        <v>14.613593359584819</v>
      </c>
      <c r="Q40" s="85">
        <f t="shared" si="11"/>
        <v>11.979364213048825</v>
      </c>
      <c r="R40" s="85">
        <f t="shared" si="11"/>
        <v>9.2744237737424129</v>
      </c>
      <c r="S40" s="85">
        <f t="shared" si="11"/>
        <v>6.8023505232297437</v>
      </c>
      <c r="T40" s="85">
        <f t="shared" si="11"/>
        <v>4.7397417975760012</v>
      </c>
      <c r="U40" s="85">
        <f t="shared" si="11"/>
        <v>3.1452926568714341</v>
      </c>
      <c r="V40" s="85">
        <f t="shared" si="11"/>
        <v>1.9923427431408014</v>
      </c>
      <c r="W40" s="85">
        <f t="shared" si="11"/>
        <v>1.2071518057092792</v>
      </c>
      <c r="X40" s="85">
        <f t="shared" si="11"/>
        <v>0.70093269598505992</v>
      </c>
      <c r="Y40" s="87">
        <f t="shared" si="7"/>
        <v>162.71660684422551</v>
      </c>
      <c r="Z40" s="370">
        <f t="shared" si="8"/>
        <v>169.60854738005722</v>
      </c>
    </row>
    <row r="41" spans="1:26">
      <c r="C41" s="71" t="str">
        <f t="shared" si="5"/>
        <v>Medium Ret</v>
      </c>
      <c r="E41" s="85">
        <f t="shared" ref="E41:X41" si="12">E18*E$35*$Y$34</f>
        <v>0.45666149957244778</v>
      </c>
      <c r="F41" s="85">
        <f t="shared" si="12"/>
        <v>0.714527474898215</v>
      </c>
      <c r="G41" s="85">
        <f t="shared" si="12"/>
        <v>1.4224812970273666</v>
      </c>
      <c r="H41" s="85">
        <f t="shared" si="12"/>
        <v>2.4778912953568222</v>
      </c>
      <c r="I41" s="85">
        <f t="shared" si="12"/>
        <v>3.8367668817305018</v>
      </c>
      <c r="J41" s="85">
        <f t="shared" si="12"/>
        <v>5.3467648557043548</v>
      </c>
      <c r="K41" s="85">
        <f t="shared" si="12"/>
        <v>6.7736705748321482</v>
      </c>
      <c r="L41" s="85">
        <f t="shared" si="12"/>
        <v>7.8662636385525744</v>
      </c>
      <c r="M41" s="85">
        <f t="shared" si="12"/>
        <v>8.4323925816471679</v>
      </c>
      <c r="N41" s="85">
        <f t="shared" si="12"/>
        <v>8.393603575771591</v>
      </c>
      <c r="O41" s="85">
        <f t="shared" si="12"/>
        <v>7.7979934660348462</v>
      </c>
      <c r="P41" s="85">
        <f t="shared" si="12"/>
        <v>6.7918573590796925</v>
      </c>
      <c r="Q41" s="85">
        <f t="shared" si="12"/>
        <v>5.5675651419524055</v>
      </c>
      <c r="R41" s="85">
        <f t="shared" si="12"/>
        <v>4.3104089328995565</v>
      </c>
      <c r="S41" s="85">
        <f t="shared" si="12"/>
        <v>3.1614807750165914</v>
      </c>
      <c r="T41" s="85">
        <f t="shared" si="12"/>
        <v>2.2028565744160522</v>
      </c>
      <c r="U41" s="85">
        <f t="shared" si="12"/>
        <v>1.4618156227824917</v>
      </c>
      <c r="V41" s="85">
        <f t="shared" si="12"/>
        <v>0.92596717240216941</v>
      </c>
      <c r="W41" s="85">
        <f t="shared" si="12"/>
        <v>0.56103948381425617</v>
      </c>
      <c r="X41" s="85">
        <f t="shared" si="12"/>
        <v>0.32576757627673242</v>
      </c>
      <c r="Y41" s="87">
        <f t="shared" si="7"/>
        <v>75.624656882530644</v>
      </c>
      <c r="Z41" s="370">
        <f t="shared" si="8"/>
        <v>78.827775779767975</v>
      </c>
    </row>
    <row r="42" spans="1:26">
      <c r="C42" s="71" t="str">
        <f t="shared" si="5"/>
        <v>Small Ret</v>
      </c>
      <c r="E42" s="85">
        <f t="shared" ref="E42:X42" si="13">E19*E$35*$Y$34</f>
        <v>0.51479988636842255</v>
      </c>
      <c r="F42" s="85">
        <f t="shared" si="13"/>
        <v>0.80549523712664228</v>
      </c>
      <c r="G42" s="85">
        <f t="shared" si="13"/>
        <v>1.6035799180717198</v>
      </c>
      <c r="H42" s="85">
        <f t="shared" si="13"/>
        <v>2.7933560382850331</v>
      </c>
      <c r="I42" s="85">
        <f t="shared" si="13"/>
        <v>4.3252324896805439</v>
      </c>
      <c r="J42" s="85">
        <f t="shared" si="13"/>
        <v>6.027470988319215</v>
      </c>
      <c r="K42" s="85">
        <f t="shared" si="13"/>
        <v>7.6360386095292068</v>
      </c>
      <c r="L42" s="85">
        <f t="shared" si="13"/>
        <v>8.8677316372462691</v>
      </c>
      <c r="M42" s="85">
        <f t="shared" si="13"/>
        <v>9.5059354618468497</v>
      </c>
      <c r="N42" s="85">
        <f t="shared" si="13"/>
        <v>9.462208158722353</v>
      </c>
      <c r="O42" s="85">
        <f t="shared" si="13"/>
        <v>8.7907698677794226</v>
      </c>
      <c r="P42" s="85">
        <f t="shared" si="13"/>
        <v>7.6565407855891747</v>
      </c>
      <c r="Q42" s="85">
        <f t="shared" si="13"/>
        <v>6.276381751273906</v>
      </c>
      <c r="R42" s="85">
        <f t="shared" si="13"/>
        <v>4.8591747518362638</v>
      </c>
      <c r="S42" s="85">
        <f t="shared" si="13"/>
        <v>3.5639745090362962</v>
      </c>
      <c r="T42" s="85">
        <f t="shared" si="13"/>
        <v>2.4833061584063008</v>
      </c>
      <c r="U42" s="85">
        <f t="shared" si="13"/>
        <v>1.6479219667184211</v>
      </c>
      <c r="V42" s="85">
        <f t="shared" si="13"/>
        <v>1.0438536981546029</v>
      </c>
      <c r="W42" s="85">
        <f t="shared" si="13"/>
        <v>0.63246641721754493</v>
      </c>
      <c r="X42" s="85">
        <f t="shared" si="13"/>
        <v>0.36724162515735004</v>
      </c>
      <c r="Y42" s="87">
        <f t="shared" si="7"/>
        <v>85.252566301796051</v>
      </c>
      <c r="Z42" s="370">
        <f t="shared" si="8"/>
        <v>88.863479956365552</v>
      </c>
    </row>
    <row r="43" spans="1:26">
      <c r="C43" s="71" t="str">
        <f t="shared" si="5"/>
        <v>School K-12</v>
      </c>
      <c r="E43" s="85">
        <f t="shared" ref="E43:X43" si="14">E20*E$35*$Y$34</f>
        <v>1.1337935512143076</v>
      </c>
      <c r="F43" s="85">
        <f t="shared" si="14"/>
        <v>1.774911130427105</v>
      </c>
      <c r="G43" s="85">
        <f t="shared" si="14"/>
        <v>3.535267989584709</v>
      </c>
      <c r="H43" s="85">
        <f t="shared" si="14"/>
        <v>6.1613534339479736</v>
      </c>
      <c r="I43" s="85">
        <f t="shared" si="14"/>
        <v>9.5450318209069991</v>
      </c>
      <c r="J43" s="85">
        <f t="shared" si="14"/>
        <v>13.308256066617783</v>
      </c>
      <c r="K43" s="85">
        <f t="shared" si="14"/>
        <v>16.868335548584106</v>
      </c>
      <c r="L43" s="85">
        <f t="shared" si="14"/>
        <v>19.599037934974067</v>
      </c>
      <c r="M43" s="85">
        <f t="shared" si="14"/>
        <v>21.020118947089941</v>
      </c>
      <c r="N43" s="85">
        <f t="shared" si="14"/>
        <v>20.933936459406873</v>
      </c>
      <c r="O43" s="85">
        <f t="shared" si="14"/>
        <v>19.458233498595103</v>
      </c>
      <c r="P43" s="85">
        <f t="shared" si="14"/>
        <v>16.956147898594487</v>
      </c>
      <c r="Q43" s="85">
        <f t="shared" si="14"/>
        <v>13.906634570055495</v>
      </c>
      <c r="R43" s="85">
        <f t="shared" si="14"/>
        <v>10.771924619803105</v>
      </c>
      <c r="S43" s="85">
        <f t="shared" si="14"/>
        <v>7.904665063371958</v>
      </c>
      <c r="T43" s="85">
        <f t="shared" si="14"/>
        <v>5.5105791556284718</v>
      </c>
      <c r="U43" s="85">
        <f t="shared" si="14"/>
        <v>3.6586571873935965</v>
      </c>
      <c r="V43" s="85">
        <f t="shared" si="14"/>
        <v>2.3186906227706388</v>
      </c>
      <c r="W43" s="85">
        <f t="shared" si="14"/>
        <v>1.4055902555235851</v>
      </c>
      <c r="X43" s="85">
        <f t="shared" si="14"/>
        <v>0.81656594569425867</v>
      </c>
      <c r="Y43" s="87">
        <f t="shared" si="7"/>
        <v>189.56005435184883</v>
      </c>
      <c r="Z43" s="370">
        <f t="shared" si="8"/>
        <v>196.58773170018458</v>
      </c>
    </row>
    <row r="44" spans="1:26">
      <c r="C44" s="71" t="str">
        <f t="shared" si="5"/>
        <v>University</v>
      </c>
      <c r="E44" s="85">
        <f t="shared" ref="E44:X44" si="15">E21*E$35*$Y$34</f>
        <v>0.57439490710558139</v>
      </c>
      <c r="F44" s="85">
        <f t="shared" si="15"/>
        <v>0.89919360785783464</v>
      </c>
      <c r="G44" s="85">
        <f t="shared" si="15"/>
        <v>1.7910138281312353</v>
      </c>
      <c r="H44" s="85">
        <f t="shared" si="15"/>
        <v>3.1214236750128213</v>
      </c>
      <c r="I44" s="85">
        <f t="shared" si="15"/>
        <v>4.8356401923593051</v>
      </c>
      <c r="J44" s="85">
        <f t="shared" si="15"/>
        <v>6.7421396945988805</v>
      </c>
      <c r="K44" s="85">
        <f t="shared" si="15"/>
        <v>8.545723355083128</v>
      </c>
      <c r="L44" s="85">
        <f t="shared" si="15"/>
        <v>9.9291335375485019</v>
      </c>
      <c r="M44" s="85">
        <f t="shared" si="15"/>
        <v>10.64907209697105</v>
      </c>
      <c r="N44" s="85">
        <f t="shared" si="15"/>
        <v>10.605410901373469</v>
      </c>
      <c r="O44" s="85">
        <f t="shared" si="15"/>
        <v>9.8578001355659914</v>
      </c>
      <c r="P44" s="85">
        <f t="shared" si="15"/>
        <v>8.5902102606338921</v>
      </c>
      <c r="Q44" s="85">
        <f t="shared" si="15"/>
        <v>7.0452862105831784</v>
      </c>
      <c r="R44" s="85">
        <f t="shared" si="15"/>
        <v>5.4572004177598394</v>
      </c>
      <c r="S44" s="85">
        <f t="shared" si="15"/>
        <v>4.0046085549820294</v>
      </c>
      <c r="T44" s="85">
        <f t="shared" si="15"/>
        <v>2.7917327619346115</v>
      </c>
      <c r="U44" s="85">
        <f t="shared" si="15"/>
        <v>1.8535244384071194</v>
      </c>
      <c r="V44" s="85">
        <f t="shared" si="15"/>
        <v>1.1746795379515977</v>
      </c>
      <c r="W44" s="85">
        <f t="shared" si="15"/>
        <v>0.71209073590627048</v>
      </c>
      <c r="X44" s="85">
        <f t="shared" si="15"/>
        <v>0.41368317893526252</v>
      </c>
      <c r="Y44" s="87">
        <f t="shared" si="7"/>
        <v>96.033647125391425</v>
      </c>
      <c r="Z44" s="370">
        <f t="shared" si="8"/>
        <v>99.593962028701597</v>
      </c>
    </row>
    <row r="45" spans="1:26">
      <c r="C45" s="71" t="str">
        <f t="shared" si="5"/>
        <v>Warehouse</v>
      </c>
      <c r="E45" s="85">
        <f t="shared" ref="E45:X45" si="16">E22*E$35*$Y$34</f>
        <v>2.1098880818136836</v>
      </c>
      <c r="F45" s="85">
        <f t="shared" si="16"/>
        <v>3.3042769988867615</v>
      </c>
      <c r="G45" s="85">
        <f t="shared" si="16"/>
        <v>6.5841023479817631</v>
      </c>
      <c r="H45" s="85">
        <f t="shared" si="16"/>
        <v>11.479547046264905</v>
      </c>
      <c r="I45" s="85">
        <f t="shared" si="16"/>
        <v>17.791002012301341</v>
      </c>
      <c r="J45" s="85">
        <f t="shared" si="16"/>
        <v>24.815245426798143</v>
      </c>
      <c r="K45" s="85">
        <f t="shared" si="16"/>
        <v>31.466182387460552</v>
      </c>
      <c r="L45" s="85">
        <f t="shared" si="16"/>
        <v>36.574717098064767</v>
      </c>
      <c r="M45" s="85">
        <f t="shared" si="16"/>
        <v>39.242420694402057</v>
      </c>
      <c r="N45" s="85">
        <f t="shared" si="16"/>
        <v>39.09722373783277</v>
      </c>
      <c r="O45" s="85">
        <f t="shared" si="16"/>
        <v>36.355726409335965</v>
      </c>
      <c r="P45" s="85">
        <f t="shared" si="16"/>
        <v>31.693558943918713</v>
      </c>
      <c r="Q45" s="85">
        <f t="shared" si="16"/>
        <v>26.004005815386272</v>
      </c>
      <c r="R45" s="85">
        <f t="shared" si="16"/>
        <v>20.150504106342844</v>
      </c>
      <c r="S45" s="85">
        <f t="shared" si="16"/>
        <v>14.792803230320633</v>
      </c>
      <c r="T45" s="85">
        <f t="shared" si="16"/>
        <v>10.316648900857873</v>
      </c>
      <c r="U45" s="85">
        <f t="shared" si="16"/>
        <v>6.8523181999497993</v>
      </c>
      <c r="V45" s="85">
        <f t="shared" si="16"/>
        <v>4.3444320325699977</v>
      </c>
      <c r="W45" s="85">
        <f t="shared" si="16"/>
        <v>2.6346524728997336</v>
      </c>
      <c r="X45" s="85">
        <f t="shared" si="16"/>
        <v>1.5311941509374301</v>
      </c>
      <c r="Y45" s="87">
        <f t="shared" si="7"/>
        <v>355.45597756731564</v>
      </c>
      <c r="Z45" s="370">
        <f t="shared" si="8"/>
        <v>367.14045009432613</v>
      </c>
    </row>
    <row r="46" spans="1:26">
      <c r="C46" s="71" t="str">
        <f t="shared" si="5"/>
        <v>Supermarket</v>
      </c>
      <c r="E46" s="85">
        <f t="shared" ref="E46:X46" si="17">E23*E$35*$Y$34</f>
        <v>0.25260887118003761</v>
      </c>
      <c r="F46" s="85">
        <f t="shared" si="17"/>
        <v>0.39350399935454516</v>
      </c>
      <c r="G46" s="85">
        <f t="shared" si="17"/>
        <v>0.77992492672070868</v>
      </c>
      <c r="H46" s="85">
        <f t="shared" si="17"/>
        <v>1.3525848041653894</v>
      </c>
      <c r="I46" s="85">
        <f t="shared" si="17"/>
        <v>2.0850846192211789</v>
      </c>
      <c r="J46" s="85">
        <f t="shared" si="17"/>
        <v>2.8928464007074615</v>
      </c>
      <c r="K46" s="85">
        <f t="shared" si="17"/>
        <v>3.6486682694013948</v>
      </c>
      <c r="L46" s="85">
        <f t="shared" si="17"/>
        <v>4.218468630806246</v>
      </c>
      <c r="M46" s="85">
        <f t="shared" si="17"/>
        <v>4.5020795218312175</v>
      </c>
      <c r="N46" s="85">
        <f t="shared" si="17"/>
        <v>4.4615608061347363</v>
      </c>
      <c r="O46" s="85">
        <f t="shared" si="17"/>
        <v>4.1266463082875591</v>
      </c>
      <c r="P46" s="85">
        <f t="shared" si="17"/>
        <v>3.5783181800738464</v>
      </c>
      <c r="Q46" s="85">
        <f t="shared" si="17"/>
        <v>2.9203286135496773</v>
      </c>
      <c r="R46" s="85">
        <f t="shared" si="17"/>
        <v>2.2509243991326811</v>
      </c>
      <c r="S46" s="85">
        <f t="shared" si="17"/>
        <v>1.6436486901877319</v>
      </c>
      <c r="T46" s="85">
        <f t="shared" si="17"/>
        <v>1.1401990963832254</v>
      </c>
      <c r="U46" s="85">
        <f t="shared" si="17"/>
        <v>0.75329153634385093</v>
      </c>
      <c r="V46" s="85">
        <f t="shared" si="17"/>
        <v>0.47505303523793663</v>
      </c>
      <c r="W46" s="85">
        <f t="shared" si="17"/>
        <v>0.28656025264744539</v>
      </c>
      <c r="X46" s="85">
        <f t="shared" si="17"/>
        <v>0.16565570605126953</v>
      </c>
      <c r="Y46" s="87">
        <f t="shared" si="7"/>
        <v>38.455809733865735</v>
      </c>
      <c r="Z46" s="370">
        <f t="shared" si="8"/>
        <v>41.927956667418137</v>
      </c>
    </row>
    <row r="47" spans="1:26">
      <c r="C47" s="71" t="str">
        <f t="shared" si="5"/>
        <v>MiniMart</v>
      </c>
      <c r="E47" s="85">
        <f t="shared" ref="E47:X47" si="18">E24*E$35*$Y$34</f>
        <v>0.10575821051287376</v>
      </c>
      <c r="F47" s="85">
        <f t="shared" si="18"/>
        <v>0.16545742790836165</v>
      </c>
      <c r="G47" s="85">
        <f t="shared" si="18"/>
        <v>0.32935293769726853</v>
      </c>
      <c r="H47" s="85">
        <f t="shared" si="18"/>
        <v>0.57364718570484075</v>
      </c>
      <c r="I47" s="85">
        <f t="shared" si="18"/>
        <v>0.88812822153737681</v>
      </c>
      <c r="J47" s="85">
        <f t="shared" si="18"/>
        <v>1.2375107588644081</v>
      </c>
      <c r="K47" s="85">
        <f t="shared" si="18"/>
        <v>1.5675796284687236</v>
      </c>
      <c r="L47" s="85">
        <f t="shared" si="18"/>
        <v>1.820210761392743</v>
      </c>
      <c r="M47" s="85">
        <f t="shared" si="18"/>
        <v>1.9509747024911972</v>
      </c>
      <c r="N47" s="85">
        <f t="shared" si="18"/>
        <v>1.9417661018954386</v>
      </c>
      <c r="O47" s="85">
        <f t="shared" si="18"/>
        <v>1.8037609015015277</v>
      </c>
      <c r="P47" s="85">
        <f t="shared" si="18"/>
        <v>1.570841256290634</v>
      </c>
      <c r="Q47" s="85">
        <f t="shared" si="18"/>
        <v>1.2875280234031281</v>
      </c>
      <c r="R47" s="85">
        <f t="shared" si="18"/>
        <v>0.99668402643651866</v>
      </c>
      <c r="S47" s="85">
        <f t="shared" si="18"/>
        <v>0.73093239419180922</v>
      </c>
      <c r="T47" s="85">
        <f t="shared" si="18"/>
        <v>0.50923767530385489</v>
      </c>
      <c r="U47" s="85">
        <f t="shared" si="18"/>
        <v>0.33788938231761378</v>
      </c>
      <c r="V47" s="85">
        <f t="shared" si="18"/>
        <v>0.21400561918468422</v>
      </c>
      <c r="W47" s="85">
        <f t="shared" si="18"/>
        <v>0.12964944248999594</v>
      </c>
      <c r="X47" s="85">
        <f t="shared" si="18"/>
        <v>7.5271873320838276E-2</v>
      </c>
      <c r="Y47" s="87">
        <f t="shared" si="7"/>
        <v>17.473837199679227</v>
      </c>
      <c r="Z47" s="370">
        <f t="shared" si="8"/>
        <v>18.236186530913837</v>
      </c>
    </row>
    <row r="48" spans="1:26">
      <c r="C48" s="71" t="str">
        <f t="shared" si="5"/>
        <v>Restaurant</v>
      </c>
      <c r="E48" s="85">
        <f t="shared" ref="E48:X48" si="19">E25*E$35*$Y$34</f>
        <v>0.24240461843219457</v>
      </c>
      <c r="F48" s="85">
        <f t="shared" si="19"/>
        <v>0.37923906318381317</v>
      </c>
      <c r="G48" s="85">
        <f t="shared" si="19"/>
        <v>0.75489810961117132</v>
      </c>
      <c r="H48" s="85">
        <f t="shared" si="19"/>
        <v>1.3148362334341621</v>
      </c>
      <c r="I48" s="85">
        <f t="shared" si="19"/>
        <v>2.035646987752548</v>
      </c>
      <c r="J48" s="85">
        <f t="shared" si="19"/>
        <v>2.8364542275584976</v>
      </c>
      <c r="K48" s="85">
        <f t="shared" si="19"/>
        <v>3.5929932991329014</v>
      </c>
      <c r="L48" s="85">
        <f t="shared" si="19"/>
        <v>4.1720400992211593</v>
      </c>
      <c r="M48" s="85">
        <f t="shared" si="19"/>
        <v>4.4717594599492054</v>
      </c>
      <c r="N48" s="85">
        <f t="shared" si="19"/>
        <v>4.4506527552982469</v>
      </c>
      <c r="O48" s="85">
        <f t="shared" si="19"/>
        <v>4.1343359626736937</v>
      </c>
      <c r="P48" s="85">
        <f t="shared" si="19"/>
        <v>3.6004691598136365</v>
      </c>
      <c r="Q48" s="85">
        <f t="shared" si="19"/>
        <v>2.9510970138417876</v>
      </c>
      <c r="R48" s="85">
        <f t="shared" si="19"/>
        <v>2.2844638723950226</v>
      </c>
      <c r="S48" s="85">
        <f t="shared" si="19"/>
        <v>1.675344044254871</v>
      </c>
      <c r="T48" s="85">
        <f t="shared" si="19"/>
        <v>1.1672054942561871</v>
      </c>
      <c r="U48" s="85">
        <f t="shared" si="19"/>
        <v>0.77446418954886531</v>
      </c>
      <c r="V48" s="85">
        <f t="shared" si="19"/>
        <v>0.49051463909267023</v>
      </c>
      <c r="W48" s="85">
        <f t="shared" si="19"/>
        <v>0.29716485825853289</v>
      </c>
      <c r="X48" s="85">
        <f t="shared" si="19"/>
        <v>0.17252797340773085</v>
      </c>
      <c r="Y48" s="87">
        <f t="shared" si="7"/>
        <v>40.05115837714483</v>
      </c>
      <c r="Z48" s="370">
        <f t="shared" si="8"/>
        <v>41.798512061116902</v>
      </c>
    </row>
    <row r="49" spans="1:80">
      <c r="C49" s="71" t="str">
        <f t="shared" si="5"/>
        <v>Lodging</v>
      </c>
      <c r="E49" s="85">
        <f t="shared" ref="E49:X49" si="20">E26*E$35*$Y$34</f>
        <v>0.80009543259052118</v>
      </c>
      <c r="F49" s="85">
        <f t="shared" si="20"/>
        <v>1.254657334318372</v>
      </c>
      <c r="G49" s="85">
        <f t="shared" si="20"/>
        <v>2.5032923134320164</v>
      </c>
      <c r="H49" s="85">
        <f t="shared" si="20"/>
        <v>4.3702477207896155</v>
      </c>
      <c r="I49" s="85">
        <f t="shared" si="20"/>
        <v>6.7818475297373411</v>
      </c>
      <c r="J49" s="85">
        <f t="shared" si="20"/>
        <v>9.4717995339323551</v>
      </c>
      <c r="K49" s="85">
        <f t="shared" si="20"/>
        <v>12.026085546428444</v>
      </c>
      <c r="L49" s="85">
        <f t="shared" si="20"/>
        <v>13.996760097969856</v>
      </c>
      <c r="M49" s="85">
        <f t="shared" si="20"/>
        <v>15.037257710175854</v>
      </c>
      <c r="N49" s="85">
        <f t="shared" si="20"/>
        <v>15.001168291671432</v>
      </c>
      <c r="O49" s="85">
        <f t="shared" si="20"/>
        <v>13.967487788586674</v>
      </c>
      <c r="P49" s="85">
        <f t="shared" si="20"/>
        <v>12.192220090657296</v>
      </c>
      <c r="Q49" s="85">
        <f t="shared" si="20"/>
        <v>10.01655427495035</v>
      </c>
      <c r="R49" s="85">
        <f t="shared" si="20"/>
        <v>7.7719557569814857</v>
      </c>
      <c r="S49" s="85">
        <f t="shared" si="20"/>
        <v>5.7129601518056061</v>
      </c>
      <c r="T49" s="85">
        <f t="shared" si="20"/>
        <v>3.989474333208876</v>
      </c>
      <c r="U49" s="85">
        <f t="shared" si="20"/>
        <v>2.6532663965394501</v>
      </c>
      <c r="V49" s="85">
        <f t="shared" si="20"/>
        <v>1.6843899909376654</v>
      </c>
      <c r="W49" s="85">
        <f t="shared" si="20"/>
        <v>1.0228201899753135</v>
      </c>
      <c r="X49" s="85">
        <f t="shared" si="20"/>
        <v>0.59521316255293932</v>
      </c>
      <c r="Y49" s="87">
        <f t="shared" si="7"/>
        <v>138.17455900459103</v>
      </c>
      <c r="Z49" s="370">
        <f t="shared" si="8"/>
        <v>140.84955364724144</v>
      </c>
    </row>
    <row r="50" spans="1:80">
      <c r="C50" s="71" t="str">
        <f t="shared" si="5"/>
        <v>Hospital</v>
      </c>
      <c r="E50" s="85">
        <f t="shared" ref="E50:X50" si="21">E27*E$35*$Y$34</f>
        <v>0.49387405543395918</v>
      </c>
      <c r="F50" s="85">
        <f t="shared" si="21"/>
        <v>0.77469389357810081</v>
      </c>
      <c r="G50" s="85">
        <f t="shared" si="21"/>
        <v>1.5461340728031741</v>
      </c>
      <c r="H50" s="85">
        <f t="shared" si="21"/>
        <v>2.7000525846880037</v>
      </c>
      <c r="I50" s="85">
        <f t="shared" si="21"/>
        <v>4.1912616266269129</v>
      </c>
      <c r="J50" s="85">
        <f t="shared" si="21"/>
        <v>5.8554439680953925</v>
      </c>
      <c r="K50" s="85">
        <f t="shared" si="21"/>
        <v>7.4367332273339555</v>
      </c>
      <c r="L50" s="85">
        <f t="shared" si="21"/>
        <v>8.6579687688159801</v>
      </c>
      <c r="M50" s="85">
        <f t="shared" si="21"/>
        <v>9.3043860370477294</v>
      </c>
      <c r="N50" s="85">
        <f t="shared" si="21"/>
        <v>9.2848468263699289</v>
      </c>
      <c r="O50" s="85">
        <f t="shared" si="21"/>
        <v>8.6476587381655907</v>
      </c>
      <c r="P50" s="85">
        <f t="shared" si="21"/>
        <v>7.5508113229635034</v>
      </c>
      <c r="Q50" s="85">
        <f t="shared" si="21"/>
        <v>6.2052567452114031</v>
      </c>
      <c r="R50" s="85">
        <f t="shared" si="21"/>
        <v>4.8161755491472507</v>
      </c>
      <c r="S50" s="85">
        <f t="shared" si="21"/>
        <v>3.5413085329956209</v>
      </c>
      <c r="T50" s="85">
        <f t="shared" si="21"/>
        <v>2.4737102495534216</v>
      </c>
      <c r="U50" s="85">
        <f t="shared" si="21"/>
        <v>1.6456769720195727</v>
      </c>
      <c r="V50" s="85">
        <f t="shared" si="21"/>
        <v>1.0450497593316674</v>
      </c>
      <c r="W50" s="85">
        <f t="shared" si="21"/>
        <v>0.63478139859648874</v>
      </c>
      <c r="X50" s="85">
        <f t="shared" si="21"/>
        <v>0.36951154196798691</v>
      </c>
      <c r="Y50" s="87">
        <f t="shared" si="7"/>
        <v>85.779511561107171</v>
      </c>
      <c r="Z50" s="370">
        <f t="shared" si="8"/>
        <v>87.175335870745613</v>
      </c>
    </row>
    <row r="51" spans="1:80">
      <c r="C51" s="71" t="str">
        <f t="shared" si="5"/>
        <v>Residential Care</v>
      </c>
      <c r="E51" s="85">
        <f t="shared" ref="E51:X51" si="22">E28*E$35*$Y$34</f>
        <v>0.60540526788865112</v>
      </c>
      <c r="F51" s="85">
        <f t="shared" si="22"/>
        <v>0.94935694999800901</v>
      </c>
      <c r="G51" s="85">
        <f t="shared" si="22"/>
        <v>1.8941569866360286</v>
      </c>
      <c r="H51" s="85">
        <f t="shared" si="22"/>
        <v>3.3068192672691796</v>
      </c>
      <c r="I51" s="85">
        <f t="shared" si="22"/>
        <v>5.1315956238209175</v>
      </c>
      <c r="J51" s="85">
        <f t="shared" si="22"/>
        <v>7.1669917120532416</v>
      </c>
      <c r="K51" s="85">
        <f t="shared" si="22"/>
        <v>9.0997339133836785</v>
      </c>
      <c r="L51" s="85">
        <f t="shared" si="22"/>
        <v>10.590876977323484</v>
      </c>
      <c r="M51" s="85">
        <f t="shared" si="22"/>
        <v>11.378186478160819</v>
      </c>
      <c r="N51" s="85">
        <f t="shared" si="22"/>
        <v>11.350878830613233</v>
      </c>
      <c r="O51" s="85">
        <f t="shared" si="22"/>
        <v>10.568727606658458</v>
      </c>
      <c r="P51" s="85">
        <f t="shared" si="22"/>
        <v>9.2254423278521553</v>
      </c>
      <c r="Q51" s="85">
        <f t="shared" si="22"/>
        <v>7.5791892781008396</v>
      </c>
      <c r="R51" s="85">
        <f t="shared" si="22"/>
        <v>5.8807771740926489</v>
      </c>
      <c r="S51" s="85">
        <f t="shared" si="22"/>
        <v>4.3228045433814639</v>
      </c>
      <c r="T51" s="85">
        <f t="shared" si="22"/>
        <v>3.0187008687341321</v>
      </c>
      <c r="U51" s="85">
        <f t="shared" si="22"/>
        <v>2.0076373244327801</v>
      </c>
      <c r="V51" s="85">
        <f t="shared" si="22"/>
        <v>1.2745211785435469</v>
      </c>
      <c r="W51" s="85">
        <f t="shared" si="22"/>
        <v>0.77393359078308233</v>
      </c>
      <c r="X51" s="85">
        <f t="shared" si="22"/>
        <v>0.45037775426301385</v>
      </c>
      <c r="Y51" s="87">
        <f t="shared" si="7"/>
        <v>104.55203529749747</v>
      </c>
      <c r="Z51" s="370">
        <f t="shared" si="8"/>
        <v>106.57611365398937</v>
      </c>
    </row>
    <row r="52" spans="1:80">
      <c r="C52" s="71" t="str">
        <f t="shared" si="5"/>
        <v>Assembly</v>
      </c>
      <c r="E52" s="85">
        <f t="shared" ref="E52:X52" si="23">E29*E$35*$Y$34</f>
        <v>1.7675834345340307</v>
      </c>
      <c r="F52" s="85">
        <f t="shared" si="23"/>
        <v>2.7660109935491519</v>
      </c>
      <c r="G52" s="85">
        <f t="shared" si="23"/>
        <v>5.5072016484495245</v>
      </c>
      <c r="H52" s="85">
        <f t="shared" si="23"/>
        <v>9.5943621731769309</v>
      </c>
      <c r="I52" s="85">
        <f t="shared" si="23"/>
        <v>14.857601839463609</v>
      </c>
      <c r="J52" s="85">
        <f t="shared" si="23"/>
        <v>20.707317025561423</v>
      </c>
      <c r="K52" s="85">
        <f t="shared" si="23"/>
        <v>26.236522068281314</v>
      </c>
      <c r="L52" s="85">
        <f t="shared" si="23"/>
        <v>30.471942129146338</v>
      </c>
      <c r="M52" s="85">
        <f t="shared" si="23"/>
        <v>32.668703503828958</v>
      </c>
      <c r="N52" s="85">
        <f t="shared" si="23"/>
        <v>32.522129920775114</v>
      </c>
      <c r="O52" s="85">
        <f t="shared" si="23"/>
        <v>30.217799700228568</v>
      </c>
      <c r="P52" s="85">
        <f t="shared" si="23"/>
        <v>26.321944692376817</v>
      </c>
      <c r="Q52" s="85">
        <f t="shared" si="23"/>
        <v>21.579638623960673</v>
      </c>
      <c r="R52" s="85">
        <f t="shared" si="23"/>
        <v>16.708858427852778</v>
      </c>
      <c r="S52" s="85">
        <f t="shared" si="23"/>
        <v>12.256551520836391</v>
      </c>
      <c r="T52" s="85">
        <f t="shared" si="23"/>
        <v>8.5410923217756682</v>
      </c>
      <c r="U52" s="85">
        <f t="shared" si="23"/>
        <v>5.6685141917057544</v>
      </c>
      <c r="V52" s="85">
        <f t="shared" si="23"/>
        <v>3.5910518369296538</v>
      </c>
      <c r="W52" s="85">
        <f t="shared" si="23"/>
        <v>2.1760504252593762</v>
      </c>
      <c r="X52" s="85">
        <f t="shared" si="23"/>
        <v>1.2636675405382449</v>
      </c>
      <c r="Y52" s="87">
        <f t="shared" si="7"/>
        <v>293.35155222942217</v>
      </c>
      <c r="Z52" s="370">
        <f t="shared" si="8"/>
        <v>305.42454401823034</v>
      </c>
    </row>
    <row r="53" spans="1:80">
      <c r="C53" s="71" t="str">
        <f t="shared" si="5"/>
        <v>Other</v>
      </c>
      <c r="E53" s="85">
        <f t="shared" ref="E53:X53" si="24">E30*E$35*$Y$34</f>
        <v>1.6112227558328607</v>
      </c>
      <c r="F53" s="85">
        <f t="shared" si="24"/>
        <v>2.5098983868203364</v>
      </c>
      <c r="G53" s="85">
        <f t="shared" si="24"/>
        <v>4.9746186026779071</v>
      </c>
      <c r="H53" s="85">
        <f t="shared" si="24"/>
        <v>8.6272323116941649</v>
      </c>
      <c r="I53" s="85">
        <f t="shared" si="24"/>
        <v>13.299357899160533</v>
      </c>
      <c r="J53" s="85">
        <f t="shared" si="24"/>
        <v>18.451529149295311</v>
      </c>
      <c r="K53" s="85">
        <f t="shared" si="24"/>
        <v>23.272410492483932</v>
      </c>
      <c r="L53" s="85">
        <f t="shared" si="24"/>
        <v>26.906785264393513</v>
      </c>
      <c r="M53" s="85">
        <f t="shared" si="24"/>
        <v>28.715749135245797</v>
      </c>
      <c r="N53" s="85">
        <f t="shared" si="24"/>
        <v>28.457307393028582</v>
      </c>
      <c r="O53" s="85">
        <f t="shared" si="24"/>
        <v>26.321112184725269</v>
      </c>
      <c r="P53" s="85">
        <f t="shared" si="24"/>
        <v>22.823694403179864</v>
      </c>
      <c r="Q53" s="85">
        <f t="shared" si="24"/>
        <v>18.626819773512782</v>
      </c>
      <c r="R53" s="85">
        <f t="shared" si="24"/>
        <v>14.357138752095368</v>
      </c>
      <c r="S53" s="85">
        <f t="shared" si="24"/>
        <v>10.483733844556406</v>
      </c>
      <c r="T53" s="85">
        <f t="shared" si="24"/>
        <v>7.2725661679687503</v>
      </c>
      <c r="U53" s="85">
        <f t="shared" si="24"/>
        <v>4.8047420483046874</v>
      </c>
      <c r="V53" s="85">
        <f t="shared" si="24"/>
        <v>3.0300450535536063</v>
      </c>
      <c r="W53" s="85">
        <f t="shared" si="24"/>
        <v>1.8277758727392803</v>
      </c>
      <c r="X53" s="85">
        <f t="shared" si="24"/>
        <v>1.0566067690993157</v>
      </c>
      <c r="Y53" s="87">
        <f t="shared" si="7"/>
        <v>245.2838471101158</v>
      </c>
      <c r="Z53" s="370">
        <f t="shared" si="8"/>
        <v>267.4303462603682</v>
      </c>
    </row>
    <row r="54" spans="1:80">
      <c r="E54" s="85"/>
      <c r="F54" s="85"/>
      <c r="G54" s="85"/>
      <c r="H54" s="85"/>
      <c r="I54" s="85"/>
      <c r="J54" s="85"/>
      <c r="K54" s="85"/>
      <c r="L54" s="85"/>
      <c r="M54" s="85"/>
      <c r="N54" s="85"/>
      <c r="O54" s="85"/>
      <c r="P54" s="85"/>
      <c r="Q54" s="85"/>
      <c r="R54" s="85"/>
      <c r="S54" s="85"/>
      <c r="T54" s="85"/>
      <c r="U54" s="85"/>
      <c r="V54" s="85"/>
      <c r="W54" s="85"/>
      <c r="X54" s="85"/>
      <c r="Y54" s="87"/>
    </row>
    <row r="55" spans="1:80">
      <c r="E55" s="85"/>
      <c r="F55" s="85"/>
      <c r="G55" s="85"/>
      <c r="H55" s="85"/>
      <c r="I55" s="85"/>
      <c r="J55" s="85"/>
      <c r="K55" s="85"/>
      <c r="L55" s="85"/>
      <c r="M55" s="85"/>
      <c r="N55" s="85"/>
      <c r="O55" s="85"/>
      <c r="P55" s="85"/>
      <c r="Q55" s="85"/>
      <c r="R55" s="85"/>
      <c r="S55" s="85"/>
      <c r="T55" s="85"/>
      <c r="U55" s="85"/>
      <c r="V55" s="85"/>
      <c r="W55" s="85"/>
      <c r="X55" s="85"/>
      <c r="Y55" s="87"/>
    </row>
    <row r="56" spans="1:80">
      <c r="A56" s="106"/>
      <c r="E56" s="85"/>
      <c r="F56" s="85"/>
      <c r="G56" s="85"/>
      <c r="H56" s="85"/>
      <c r="I56" s="85"/>
      <c r="J56" s="85"/>
      <c r="K56" s="85"/>
      <c r="L56" s="85"/>
      <c r="M56" s="85"/>
      <c r="N56" s="85"/>
      <c r="O56" s="85"/>
      <c r="P56" s="85"/>
      <c r="Q56" s="85"/>
      <c r="R56" s="85"/>
      <c r="S56" s="85"/>
      <c r="T56" s="85"/>
      <c r="U56" s="85"/>
      <c r="V56" s="85"/>
      <c r="W56" s="85"/>
      <c r="X56" s="85"/>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row>
    <row r="57" spans="1:80">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row>
    <row r="58" spans="1:80" ht="15">
      <c r="A58" s="89" t="s">
        <v>186</v>
      </c>
      <c r="C58" s="90" t="str">
        <f>C8</f>
        <v>Advanced Rooftop Controller-Retro</v>
      </c>
      <c r="D58" s="90"/>
      <c r="E58" s="71" t="s">
        <v>34</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90"/>
      <c r="B59" s="90"/>
      <c r="C59" s="90"/>
      <c r="D59" s="90"/>
      <c r="E59" s="91">
        <f>E11</f>
        <v>2016</v>
      </c>
      <c r="F59" s="91">
        <f t="shared" ref="F59:X59" si="25">F11</f>
        <v>2017</v>
      </c>
      <c r="G59" s="91">
        <f t="shared" si="25"/>
        <v>2018</v>
      </c>
      <c r="H59" s="91">
        <f t="shared" si="25"/>
        <v>2019</v>
      </c>
      <c r="I59" s="91">
        <f t="shared" si="25"/>
        <v>2020</v>
      </c>
      <c r="J59" s="91">
        <f t="shared" si="25"/>
        <v>2021</v>
      </c>
      <c r="K59" s="91">
        <f t="shared" si="25"/>
        <v>2022</v>
      </c>
      <c r="L59" s="91">
        <f t="shared" si="25"/>
        <v>2023</v>
      </c>
      <c r="M59" s="91">
        <f t="shared" si="25"/>
        <v>2024</v>
      </c>
      <c r="N59" s="91">
        <f t="shared" si="25"/>
        <v>2025</v>
      </c>
      <c r="O59" s="91">
        <f t="shared" si="25"/>
        <v>2026</v>
      </c>
      <c r="P59" s="91">
        <f t="shared" si="25"/>
        <v>2027</v>
      </c>
      <c r="Q59" s="91">
        <f t="shared" si="25"/>
        <v>2028</v>
      </c>
      <c r="R59" s="91">
        <f t="shared" si="25"/>
        <v>2029</v>
      </c>
      <c r="S59" s="91">
        <f t="shared" si="25"/>
        <v>2030</v>
      </c>
      <c r="T59" s="91">
        <f t="shared" si="25"/>
        <v>2031</v>
      </c>
      <c r="U59" s="91">
        <f t="shared" si="25"/>
        <v>2032</v>
      </c>
      <c r="V59" s="91">
        <f t="shared" si="25"/>
        <v>2033</v>
      </c>
      <c r="W59" s="91">
        <f t="shared" si="25"/>
        <v>2034</v>
      </c>
      <c r="X59" s="91">
        <f t="shared" si="25"/>
        <v>2035</v>
      </c>
      <c r="Y59" s="237" t="s">
        <v>184</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90" t="s">
        <v>187</v>
      </c>
      <c r="B60" s="90" t="s">
        <v>188</v>
      </c>
      <c r="C60" s="90" t="s">
        <v>189</v>
      </c>
      <c r="D60" s="90" t="s">
        <v>190</v>
      </c>
      <c r="E60" s="92" t="str">
        <f>CONCATENATE("aMW_",E$11)</f>
        <v>aMW_2016</v>
      </c>
      <c r="F60" s="92" t="str">
        <f t="shared" ref="F60:X60" si="26">CONCATENATE("aMW_",F$11)</f>
        <v>aMW_2017</v>
      </c>
      <c r="G60" s="92" t="str">
        <f t="shared" si="26"/>
        <v>aMW_2018</v>
      </c>
      <c r="H60" s="92" t="str">
        <f t="shared" si="26"/>
        <v>aMW_2019</v>
      </c>
      <c r="I60" s="92" t="str">
        <f t="shared" si="26"/>
        <v>aMW_2020</v>
      </c>
      <c r="J60" s="92" t="str">
        <f t="shared" si="26"/>
        <v>aMW_2021</v>
      </c>
      <c r="K60" s="92" t="str">
        <f t="shared" si="26"/>
        <v>aMW_2022</v>
      </c>
      <c r="L60" s="92" t="str">
        <f t="shared" si="26"/>
        <v>aMW_2023</v>
      </c>
      <c r="M60" s="92" t="str">
        <f t="shared" si="26"/>
        <v>aMW_2024</v>
      </c>
      <c r="N60" s="92" t="str">
        <f t="shared" si="26"/>
        <v>aMW_2025</v>
      </c>
      <c r="O60" s="92" t="str">
        <f t="shared" si="26"/>
        <v>aMW_2026</v>
      </c>
      <c r="P60" s="92" t="str">
        <f t="shared" si="26"/>
        <v>aMW_2027</v>
      </c>
      <c r="Q60" s="92" t="str">
        <f t="shared" si="26"/>
        <v>aMW_2028</v>
      </c>
      <c r="R60" s="92" t="str">
        <f t="shared" si="26"/>
        <v>aMW_2029</v>
      </c>
      <c r="S60" s="92" t="str">
        <f t="shared" si="26"/>
        <v>aMW_2030</v>
      </c>
      <c r="T60" s="92" t="str">
        <f t="shared" si="26"/>
        <v>aMW_2031</v>
      </c>
      <c r="U60" s="92" t="str">
        <f t="shared" si="26"/>
        <v>aMW_2032</v>
      </c>
      <c r="V60" s="92" t="str">
        <f t="shared" si="26"/>
        <v>aMW_2033</v>
      </c>
      <c r="W60" s="92" t="str">
        <f t="shared" si="26"/>
        <v>aMW_2034</v>
      </c>
      <c r="X60" s="92" t="str">
        <f t="shared" si="26"/>
        <v>aMW_2035</v>
      </c>
      <c r="Y60" s="238" t="s">
        <v>184</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285">
        <f>VLOOKUP($D61,'Measure InputOutput_Out'!$A$4:$N$21,3,FALSE)</f>
        <v>0.12367585487615354</v>
      </c>
      <c r="B61" s="286">
        <f>VLOOKUP($D61,'Measure InputOutput_Out'!$A$4:$N$21,11,FALSE)</f>
        <v>68.450215737357013</v>
      </c>
      <c r="C61" s="71" t="str">
        <f>C36</f>
        <v>Large Off</v>
      </c>
      <c r="D61" s="71" t="str">
        <f>CONCATENATE($C$58,"-",C61)</f>
        <v>Advanced Rooftop Controller-Retro-Large Off</v>
      </c>
      <c r="E61" s="88">
        <f t="shared" ref="E61:X61" si="27">E36*$A61*1000/8760</f>
        <v>2.5233081902301453E-2</v>
      </c>
      <c r="F61" s="88">
        <f t="shared" si="27"/>
        <v>3.9545070458057392E-2</v>
      </c>
      <c r="G61" s="88">
        <f t="shared" si="27"/>
        <v>7.8852870493366464E-2</v>
      </c>
      <c r="H61" s="88">
        <f t="shared" si="27"/>
        <v>0.1375785457933012</v>
      </c>
      <c r="I61" s="88">
        <f t="shared" si="27"/>
        <v>0.21336903802032192</v>
      </c>
      <c r="J61" s="88">
        <f t="shared" si="27"/>
        <v>0.29782050326876519</v>
      </c>
      <c r="K61" s="88">
        <f t="shared" si="27"/>
        <v>0.37790714405685688</v>
      </c>
      <c r="L61" s="88">
        <f t="shared" si="27"/>
        <v>0.43956899306213409</v>
      </c>
      <c r="M61" s="88">
        <f t="shared" si="27"/>
        <v>0.47196184655086648</v>
      </c>
      <c r="N61" s="88">
        <f t="shared" si="27"/>
        <v>0.47054596101121399</v>
      </c>
      <c r="O61" s="88">
        <f t="shared" si="27"/>
        <v>0.43785870158630208</v>
      </c>
      <c r="P61" s="88">
        <f t="shared" si="27"/>
        <v>0.38197698479634984</v>
      </c>
      <c r="Q61" s="88">
        <f t="shared" si="27"/>
        <v>0.31362557375220274</v>
      </c>
      <c r="R61" s="88">
        <f t="shared" si="27"/>
        <v>0.24319920880184726</v>
      </c>
      <c r="S61" s="88">
        <f t="shared" si="27"/>
        <v>0.17866181876085233</v>
      </c>
      <c r="T61" s="88">
        <f t="shared" si="27"/>
        <v>0.12468808331319836</v>
      </c>
      <c r="U61" s="88">
        <f t="shared" si="27"/>
        <v>8.2876012708839167E-2</v>
      </c>
      <c r="V61" s="88">
        <f t="shared" si="27"/>
        <v>5.2581062972271768E-2</v>
      </c>
      <c r="W61" s="88">
        <f t="shared" si="27"/>
        <v>3.1909846824651381E-2</v>
      </c>
      <c r="X61" s="88">
        <f t="shared" si="27"/>
        <v>1.8558235082435957E-2</v>
      </c>
      <c r="Y61" s="88">
        <f>Y36*A61*1000/8760</f>
        <v>4.3081640490284805</v>
      </c>
      <c r="AA61" s="84"/>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285">
        <f>VLOOKUP($D62,'Measure InputOutput_Out'!$A$4:$N$21,3,FALSE)</f>
        <v>0.41512223336099691</v>
      </c>
      <c r="B62" s="286">
        <f>VLOOKUP($D62,'Measure InputOutput_Out'!$A$4:$N$21,11,FALSE)</f>
        <v>75.005858154729395</v>
      </c>
      <c r="C62" s="71" t="str">
        <f t="shared" ref="C62:C78" si="28">C37</f>
        <v>Medium Off</v>
      </c>
      <c r="D62" s="71" t="str">
        <f t="shared" ref="D62:D78" si="29">CONCATENATE($C$58,"-",C62)</f>
        <v>Advanced Rooftop Controller-Retro-Medium Off</v>
      </c>
      <c r="E62" s="88">
        <f t="shared" ref="E62:X62" si="30">E37*$A62*1000/8760</f>
        <v>4.2502212805600174E-2</v>
      </c>
      <c r="F62" s="88">
        <f t="shared" si="30"/>
        <v>6.6609104925368243E-2</v>
      </c>
      <c r="G62" s="88">
        <f t="shared" si="30"/>
        <v>0.13281855522118433</v>
      </c>
      <c r="H62" s="88">
        <f t="shared" si="30"/>
        <v>0.23173517422216144</v>
      </c>
      <c r="I62" s="88">
        <f t="shared" si="30"/>
        <v>0.3593955068658809</v>
      </c>
      <c r="J62" s="88">
        <f t="shared" si="30"/>
        <v>0.50164424848339639</v>
      </c>
      <c r="K62" s="88">
        <f t="shared" si="30"/>
        <v>0.63654094730284072</v>
      </c>
      <c r="L62" s="88">
        <f t="shared" si="30"/>
        <v>0.74040321187108771</v>
      </c>
      <c r="M62" s="88">
        <f t="shared" si="30"/>
        <v>0.79496523317666423</v>
      </c>
      <c r="N62" s="88">
        <f t="shared" si="30"/>
        <v>0.79258033747713441</v>
      </c>
      <c r="O62" s="88">
        <f t="shared" si="30"/>
        <v>0.73752242336705676</v>
      </c>
      <c r="P62" s="88">
        <f t="shared" si="30"/>
        <v>0.64339612408483549</v>
      </c>
      <c r="Q62" s="88">
        <f t="shared" si="30"/>
        <v>0.52826606470447823</v>
      </c>
      <c r="R62" s="88">
        <f t="shared" si="30"/>
        <v>0.4096409850636174</v>
      </c>
      <c r="S62" s="88">
        <f t="shared" si="30"/>
        <v>0.30093520365884152</v>
      </c>
      <c r="T62" s="88">
        <f t="shared" si="30"/>
        <v>0.21002267863350466</v>
      </c>
      <c r="U62" s="88">
        <f t="shared" si="30"/>
        <v>0.13959507373173607</v>
      </c>
      <c r="V62" s="88">
        <f t="shared" si="30"/>
        <v>8.8566729052162507E-2</v>
      </c>
      <c r="W62" s="88">
        <f t="shared" si="30"/>
        <v>5.3748452352613274E-2</v>
      </c>
      <c r="X62" s="88">
        <f t="shared" si="30"/>
        <v>3.1259204080739199E-2</v>
      </c>
      <c r="Y62" s="88">
        <f t="shared" ref="Y62:Y78" si="31">Y37*A62*1000/8760</f>
        <v>7.2566048777634222</v>
      </c>
      <c r="AA62" s="84"/>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285">
        <f>VLOOKUP($D63,'Measure InputOutput_Out'!$A$4:$N$21,3,FALSE)</f>
        <v>0.2848915940665197</v>
      </c>
      <c r="B63" s="286">
        <f>VLOOKUP($D63,'Measure InputOutput_Out'!$A$4:$N$21,11,FALSE)</f>
        <v>68.323547872670318</v>
      </c>
      <c r="C63" s="71" t="str">
        <f t="shared" si="28"/>
        <v>Small Off</v>
      </c>
      <c r="D63" s="71" t="str">
        <f t="shared" si="29"/>
        <v>Advanced Rooftop Controller-Retro-Small Off</v>
      </c>
      <c r="E63" s="88">
        <f t="shared" ref="E63:X63" si="32">E38*$A63*1000/8760</f>
        <v>2.8152302704647615E-2</v>
      </c>
      <c r="F63" s="88">
        <f t="shared" si="32"/>
        <v>4.4120048368340978E-2</v>
      </c>
      <c r="G63" s="88">
        <f t="shared" si="32"/>
        <v>8.7975376446471951E-2</v>
      </c>
      <c r="H63" s="88">
        <f t="shared" si="32"/>
        <v>0.15349503805498196</v>
      </c>
      <c r="I63" s="88">
        <f t="shared" si="32"/>
        <v>0.23805374901904863</v>
      </c>
      <c r="J63" s="88">
        <f t="shared" si="32"/>
        <v>0.33227542288078793</v>
      </c>
      <c r="K63" s="88">
        <f t="shared" si="32"/>
        <v>0.42162730477909449</v>
      </c>
      <c r="L63" s="88">
        <f t="shared" si="32"/>
        <v>0.49042282667555009</v>
      </c>
      <c r="M63" s="88">
        <f t="shared" si="32"/>
        <v>0.52656321651825577</v>
      </c>
      <c r="N63" s="88">
        <f t="shared" si="32"/>
        <v>0.52498352686870098</v>
      </c>
      <c r="O63" s="88">
        <f t="shared" si="32"/>
        <v>0.48851467120222242</v>
      </c>
      <c r="P63" s="88">
        <f t="shared" si="32"/>
        <v>0.42616798629003821</v>
      </c>
      <c r="Q63" s="88">
        <f t="shared" si="32"/>
        <v>0.34990898544919707</v>
      </c>
      <c r="R63" s="88">
        <f t="shared" si="32"/>
        <v>0.27133497882777213</v>
      </c>
      <c r="S63" s="88">
        <f t="shared" si="32"/>
        <v>0.19933124391989757</v>
      </c>
      <c r="T63" s="88">
        <f t="shared" si="32"/>
        <v>0.139113275131696</v>
      </c>
      <c r="U63" s="88">
        <f t="shared" si="32"/>
        <v>9.2463956870867267E-2</v>
      </c>
      <c r="V63" s="88">
        <f t="shared" si="32"/>
        <v>5.8664177727434895E-2</v>
      </c>
      <c r="W63" s="88">
        <f t="shared" si="32"/>
        <v>3.5601504031284779E-2</v>
      </c>
      <c r="X63" s="88">
        <f t="shared" si="32"/>
        <v>2.0705241386193729E-2</v>
      </c>
      <c r="Y63" s="88">
        <f t="shared" si="31"/>
        <v>4.8065764966453832</v>
      </c>
      <c r="AA63" s="84"/>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285">
        <f>VLOOKUP($D64,'Measure InputOutput_Out'!$A$4:$N$21,3,FALSE)</f>
        <v>1.0065102026425481</v>
      </c>
      <c r="B64" s="286">
        <f>VLOOKUP($D64,'Measure InputOutput_Out'!$A$4:$N$21,11,FALSE)</f>
        <v>9.5833976838980899</v>
      </c>
      <c r="C64" s="71" t="str">
        <f t="shared" si="28"/>
        <v>XLarge Ret</v>
      </c>
      <c r="D64" s="71" t="str">
        <f t="shared" si="29"/>
        <v>Advanced Rooftop Controller-Retro-XLarge Ret</v>
      </c>
      <c r="E64" s="88">
        <f t="shared" ref="E64:X64" si="33">E39*$A64*1000/8760</f>
        <v>7.4751735468098962E-2</v>
      </c>
      <c r="F64" s="88">
        <f t="shared" si="33"/>
        <v>0.11696227695631788</v>
      </c>
      <c r="G64" s="88">
        <f t="shared" si="33"/>
        <v>0.23284850096463763</v>
      </c>
      <c r="H64" s="88">
        <f t="shared" si="33"/>
        <v>0.40561044625535064</v>
      </c>
      <c r="I64" s="88">
        <f t="shared" si="33"/>
        <v>0.62804721498178462</v>
      </c>
      <c r="J64" s="88">
        <f t="shared" si="33"/>
        <v>0.87522147691001528</v>
      </c>
      <c r="K64" s="88">
        <f t="shared" si="33"/>
        <v>1.1087942194206561</v>
      </c>
      <c r="L64" s="88">
        <f t="shared" si="33"/>
        <v>1.2876427270132076</v>
      </c>
      <c r="M64" s="88">
        <f t="shared" si="33"/>
        <v>1.3803133835819421</v>
      </c>
      <c r="N64" s="88">
        <f t="shared" si="33"/>
        <v>1.3739639420174652</v>
      </c>
      <c r="O64" s="88">
        <f t="shared" si="33"/>
        <v>1.2764674606919073</v>
      </c>
      <c r="P64" s="88">
        <f t="shared" si="33"/>
        <v>1.1117712465761327</v>
      </c>
      <c r="Q64" s="88">
        <f t="shared" si="33"/>
        <v>0.91136466963449081</v>
      </c>
      <c r="R64" s="88">
        <f t="shared" si="33"/>
        <v>0.70557852723102343</v>
      </c>
      <c r="S64" s="88">
        <f t="shared" si="33"/>
        <v>0.51750842758319349</v>
      </c>
      <c r="T64" s="88">
        <f t="shared" si="33"/>
        <v>0.36058952217141627</v>
      </c>
      <c r="U64" s="88">
        <f t="shared" si="33"/>
        <v>0.23928720691295183</v>
      </c>
      <c r="V64" s="88">
        <f t="shared" si="33"/>
        <v>0.1515732182116426</v>
      </c>
      <c r="W64" s="88">
        <f t="shared" si="33"/>
        <v>9.1837553900443569E-2</v>
      </c>
      <c r="X64" s="88">
        <f t="shared" si="33"/>
        <v>5.3325475672290033E-2</v>
      </c>
      <c r="Y64" s="88">
        <f t="shared" si="31"/>
        <v>12.37913498607044</v>
      </c>
      <c r="AA64" s="8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285">
        <f>VLOOKUP($D65,'Measure InputOutput_Out'!$A$4:$N$21,3,FALSE)</f>
        <v>1.2357256502187177</v>
      </c>
      <c r="B65" s="286">
        <f>VLOOKUP($D65,'Measure InputOutput_Out'!$A$4:$N$21,11,FALSE)</f>
        <v>6.0459335408393819</v>
      </c>
      <c r="C65" s="71" t="str">
        <f t="shared" si="28"/>
        <v>Large Ret</v>
      </c>
      <c r="D65" s="71" t="str">
        <f t="shared" si="29"/>
        <v>Advanced Rooftop Controller-Retro-Large Ret</v>
      </c>
      <c r="E65" s="88">
        <f t="shared" ref="E65:X65" si="34">E40*$A65*1000/8760</f>
        <v>0.13860561233829263</v>
      </c>
      <c r="F65" s="88">
        <f t="shared" si="34"/>
        <v>0.21687293166497629</v>
      </c>
      <c r="G65" s="88">
        <f t="shared" si="34"/>
        <v>0.43175063235863492</v>
      </c>
      <c r="H65" s="88">
        <f t="shared" si="34"/>
        <v>0.75208801403712422</v>
      </c>
      <c r="I65" s="88">
        <f t="shared" si="34"/>
        <v>1.1645330809350829</v>
      </c>
      <c r="J65" s="88">
        <f t="shared" si="34"/>
        <v>1.6228467202678933</v>
      </c>
      <c r="K65" s="88">
        <f t="shared" si="34"/>
        <v>2.0559402504513873</v>
      </c>
      <c r="L65" s="88">
        <f t="shared" si="34"/>
        <v>2.3875634128491958</v>
      </c>
      <c r="M65" s="88">
        <f t="shared" si="34"/>
        <v>2.5593945150847102</v>
      </c>
      <c r="N65" s="88">
        <f t="shared" si="34"/>
        <v>2.547621300315321</v>
      </c>
      <c r="O65" s="88">
        <f t="shared" si="34"/>
        <v>2.3668420928449483</v>
      </c>
      <c r="P65" s="88">
        <f t="shared" si="34"/>
        <v>2.0614602918156262</v>
      </c>
      <c r="Q65" s="88">
        <f t="shared" si="34"/>
        <v>1.6898638848603422</v>
      </c>
      <c r="R65" s="88">
        <f t="shared" si="34"/>
        <v>1.3082926196588787</v>
      </c>
      <c r="S65" s="88">
        <f t="shared" si="34"/>
        <v>0.95957066476412223</v>
      </c>
      <c r="T65" s="88">
        <f t="shared" si="34"/>
        <v>0.66860964779434229</v>
      </c>
      <c r="U65" s="88">
        <f t="shared" si="34"/>
        <v>0.44368936227632544</v>
      </c>
      <c r="V65" s="88">
        <f t="shared" si="34"/>
        <v>0.2810489762244533</v>
      </c>
      <c r="W65" s="88">
        <f t="shared" si="34"/>
        <v>0.17028635274232856</v>
      </c>
      <c r="X65" s="88">
        <f t="shared" si="34"/>
        <v>9.8876770719828422E-2</v>
      </c>
      <c r="Y65" s="88">
        <f t="shared" si="31"/>
        <v>22.953548492461646</v>
      </c>
      <c r="AA65" s="84"/>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285">
        <f>VLOOKUP($D66,'Measure InputOutput_Out'!$A$4:$N$21,3,FALSE)</f>
        <v>0.42439544730337114</v>
      </c>
      <c r="B66" s="286">
        <f>VLOOKUP($D66,'Measure InputOutput_Out'!$A$4:$N$21,11,FALSE)</f>
        <v>20.103111884906212</v>
      </c>
      <c r="C66" s="71" t="str">
        <f t="shared" si="28"/>
        <v>Medium Ret</v>
      </c>
      <c r="D66" s="71" t="str">
        <f t="shared" si="29"/>
        <v>Advanced Rooftop Controller-Retro-Medium Ret</v>
      </c>
      <c r="E66" s="88">
        <f t="shared" ref="E66:X66" si="35">E41*$A66*1000/8760</f>
        <v>2.2123865454027079E-2</v>
      </c>
      <c r="F66" s="88">
        <f t="shared" si="35"/>
        <v>3.4616690333330626E-2</v>
      </c>
      <c r="G66" s="88">
        <f t="shared" si="35"/>
        <v>6.8914907115594615E-2</v>
      </c>
      <c r="H66" s="88">
        <f t="shared" si="35"/>
        <v>0.12004632245001008</v>
      </c>
      <c r="I66" s="88">
        <f t="shared" si="35"/>
        <v>0.1858797256815955</v>
      </c>
      <c r="J66" s="88">
        <f t="shared" si="35"/>
        <v>0.25903455052084406</v>
      </c>
      <c r="K66" s="88">
        <f t="shared" si="35"/>
        <v>0.32816380747620694</v>
      </c>
      <c r="L66" s="88">
        <f t="shared" si="35"/>
        <v>0.38109662962211915</v>
      </c>
      <c r="M66" s="88">
        <f t="shared" si="35"/>
        <v>0.40852386090476922</v>
      </c>
      <c r="N66" s="88">
        <f t="shared" si="35"/>
        <v>0.40664465114460724</v>
      </c>
      <c r="O66" s="88">
        <f t="shared" si="35"/>
        <v>0.37778914669938629</v>
      </c>
      <c r="P66" s="88">
        <f t="shared" si="35"/>
        <v>0.32904490204649767</v>
      </c>
      <c r="Q66" s="88">
        <f t="shared" si="35"/>
        <v>0.26973165511524522</v>
      </c>
      <c r="R66" s="88">
        <f t="shared" si="35"/>
        <v>0.20882624739022307</v>
      </c>
      <c r="S66" s="88">
        <f t="shared" si="35"/>
        <v>0.15316416069111585</v>
      </c>
      <c r="T66" s="88">
        <f t="shared" si="35"/>
        <v>0.1067217238863553</v>
      </c>
      <c r="U66" s="88">
        <f t="shared" si="35"/>
        <v>7.0820535970985338E-2</v>
      </c>
      <c r="V66" s="88">
        <f t="shared" si="35"/>
        <v>4.4860302776239321E-2</v>
      </c>
      <c r="W66" s="88">
        <f t="shared" si="35"/>
        <v>2.7180662407329192E-2</v>
      </c>
      <c r="X66" s="88">
        <f t="shared" si="35"/>
        <v>1.5782451626814947E-2</v>
      </c>
      <c r="Y66" s="88">
        <f t="shared" si="31"/>
        <v>3.6637853978111372</v>
      </c>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row>
    <row r="67" spans="1:80">
      <c r="A67" s="285">
        <f>VLOOKUP($D67,'Measure InputOutput_Out'!$A$4:$N$21,3,FALSE)</f>
        <v>2.8497733744070924E-2</v>
      </c>
      <c r="B67" s="286">
        <f>VLOOKUP($D67,'Measure InputOutput_Out'!$A$4:$N$21,11,FALSE)</f>
        <v>72.600335126113649</v>
      </c>
      <c r="C67" s="71" t="str">
        <f t="shared" si="28"/>
        <v>Small Ret</v>
      </c>
      <c r="D67" s="71" t="str">
        <f t="shared" si="29"/>
        <v>Advanced Rooftop Controller-Retro-Small Ret</v>
      </c>
      <c r="E67" s="88">
        <f t="shared" ref="E67:X67" si="36">E42*$A67*1000/8760</f>
        <v>1.6747294626946658E-3</v>
      </c>
      <c r="F67" s="88">
        <f t="shared" si="36"/>
        <v>2.620409680337023E-3</v>
      </c>
      <c r="G67" s="88">
        <f t="shared" si="36"/>
        <v>5.2167115916149469E-3</v>
      </c>
      <c r="H67" s="88">
        <f t="shared" si="36"/>
        <v>9.0872507570136599E-3</v>
      </c>
      <c r="I67" s="88">
        <f t="shared" si="36"/>
        <v>1.4070699072159945E-2</v>
      </c>
      <c r="J67" s="88">
        <f t="shared" si="36"/>
        <v>1.9608363398999202E-2</v>
      </c>
      <c r="K67" s="88">
        <f t="shared" si="36"/>
        <v>2.4841300816644853E-2</v>
      </c>
      <c r="L67" s="88">
        <f t="shared" si="36"/>
        <v>2.8848202638369669E-2</v>
      </c>
      <c r="M67" s="88">
        <f t="shared" si="36"/>
        <v>3.0924385591328013E-2</v>
      </c>
      <c r="N67" s="88">
        <f t="shared" si="36"/>
        <v>3.0782133417607896E-2</v>
      </c>
      <c r="O67" s="88">
        <f t="shared" si="36"/>
        <v>2.8597833230294467E-2</v>
      </c>
      <c r="P67" s="88">
        <f t="shared" si="36"/>
        <v>2.4907997797755703E-2</v>
      </c>
      <c r="Q67" s="88">
        <f t="shared" si="36"/>
        <v>2.0418111418259059E-2</v>
      </c>
      <c r="R67" s="88">
        <f t="shared" si="36"/>
        <v>1.5807701860016184E-2</v>
      </c>
      <c r="S67" s="88">
        <f t="shared" si="36"/>
        <v>1.1594200528444322E-2</v>
      </c>
      <c r="T67" s="88">
        <f t="shared" si="36"/>
        <v>8.0786070442094033E-3</v>
      </c>
      <c r="U67" s="88">
        <f t="shared" si="36"/>
        <v>5.36096363453736E-3</v>
      </c>
      <c r="V67" s="88">
        <f t="shared" si="36"/>
        <v>3.395829310248134E-3</v>
      </c>
      <c r="W67" s="88">
        <f t="shared" si="36"/>
        <v>2.0575182146041178E-3</v>
      </c>
      <c r="X67" s="88">
        <f t="shared" si="36"/>
        <v>1.1946979513098241E-3</v>
      </c>
      <c r="Y67" s="88">
        <f t="shared" si="31"/>
        <v>0.2773407460579152</v>
      </c>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row>
    <row r="68" spans="1:80">
      <c r="A68" s="285">
        <f>VLOOKUP($D68,'Measure InputOutput_Out'!$A$4:$N$21,3,FALSE)</f>
        <v>0.114179434646312</v>
      </c>
      <c r="B68" s="286">
        <f>VLOOKUP($D68,'Measure InputOutput_Out'!$A$4:$N$21,11,FALSE)</f>
        <v>87.960293111858334</v>
      </c>
      <c r="C68" s="71" t="str">
        <f t="shared" si="28"/>
        <v>School K-12</v>
      </c>
      <c r="D68" s="71" t="str">
        <f t="shared" si="29"/>
        <v>Advanced Rooftop Controller-Retro-School K-12</v>
      </c>
      <c r="E68" s="88">
        <f t="shared" ref="E68:X68" si="37">E43*$A68*1000/8760</f>
        <v>1.4778071539187672E-2</v>
      </c>
      <c r="F68" s="88">
        <f t="shared" si="37"/>
        <v>2.3134514773928468E-2</v>
      </c>
      <c r="G68" s="88">
        <f t="shared" si="37"/>
        <v>4.6079326526710741E-2</v>
      </c>
      <c r="H68" s="88">
        <f t="shared" si="37"/>
        <v>8.030820225391469E-2</v>
      </c>
      <c r="I68" s="88">
        <f t="shared" si="37"/>
        <v>0.12441168230504786</v>
      </c>
      <c r="J68" s="88">
        <f t="shared" si="37"/>
        <v>0.17346223217063589</v>
      </c>
      <c r="K68" s="88">
        <f t="shared" si="37"/>
        <v>0.21986495620566443</v>
      </c>
      <c r="L68" s="88">
        <f t="shared" si="37"/>
        <v>0.2554574281994248</v>
      </c>
      <c r="M68" s="88">
        <f t="shared" si="37"/>
        <v>0.27398005680102289</v>
      </c>
      <c r="N68" s="88">
        <f t="shared" si="37"/>
        <v>0.27285673856813869</v>
      </c>
      <c r="O68" s="88">
        <f t="shared" si="37"/>
        <v>0.25362215754400896</v>
      </c>
      <c r="P68" s="88">
        <f t="shared" si="37"/>
        <v>0.22100951836081847</v>
      </c>
      <c r="Q68" s="88">
        <f t="shared" si="37"/>
        <v>0.18126160651162038</v>
      </c>
      <c r="R68" s="88">
        <f t="shared" si="37"/>
        <v>0.14040322638605113</v>
      </c>
      <c r="S68" s="88">
        <f t="shared" si="37"/>
        <v>0.10303084337948222</v>
      </c>
      <c r="T68" s="88">
        <f t="shared" si="37"/>
        <v>7.1825891845138157E-2</v>
      </c>
      <c r="U68" s="88">
        <f t="shared" si="37"/>
        <v>4.7687603792382065E-2</v>
      </c>
      <c r="V68" s="88">
        <f t="shared" si="37"/>
        <v>3.0222235665257606E-2</v>
      </c>
      <c r="W68" s="88">
        <f t="shared" si="37"/>
        <v>1.8320719260279471E-2</v>
      </c>
      <c r="X68" s="88">
        <f t="shared" si="37"/>
        <v>1.0643269181598351E-2</v>
      </c>
      <c r="Y68" s="88">
        <f t="shared" si="31"/>
        <v>2.4707602554130452</v>
      </c>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1:80">
      <c r="A69" s="285">
        <f>VLOOKUP($D69,'Measure InputOutput_Out'!$A$4:$N$21,3,FALSE)</f>
        <v>0.1140556994609167</v>
      </c>
      <c r="B69" s="286">
        <f>VLOOKUP($D69,'Measure InputOutput_Out'!$A$4:$N$21,11,FALSE)</f>
        <v>82.616837725415991</v>
      </c>
      <c r="C69" s="71" t="str">
        <f t="shared" si="28"/>
        <v>University</v>
      </c>
      <c r="D69" s="71" t="str">
        <f t="shared" si="29"/>
        <v>Advanced Rooftop Controller-Retro-University</v>
      </c>
      <c r="E69" s="88">
        <f t="shared" ref="E69:X69" si="38">E44*$A69*1000/8760</f>
        <v>7.4786544402643115E-3</v>
      </c>
      <c r="F69" s="88">
        <f t="shared" si="38"/>
        <v>1.1707552042809426E-2</v>
      </c>
      <c r="G69" s="88">
        <f t="shared" si="38"/>
        <v>2.3319102158867816E-2</v>
      </c>
      <c r="H69" s="88">
        <f t="shared" si="38"/>
        <v>4.0641114220028828E-2</v>
      </c>
      <c r="I69" s="88">
        <f t="shared" si="38"/>
        <v>6.2960311013797066E-2</v>
      </c>
      <c r="J69" s="88">
        <f t="shared" si="38"/>
        <v>8.7783043234096636E-2</v>
      </c>
      <c r="K69" s="88">
        <f t="shared" si="38"/>
        <v>0.11126580532688334</v>
      </c>
      <c r="L69" s="88">
        <f t="shared" si="38"/>
        <v>0.12927788477921695</v>
      </c>
      <c r="M69" s="88">
        <f t="shared" si="38"/>
        <v>0.13865152587097765</v>
      </c>
      <c r="N69" s="88">
        <f t="shared" si="38"/>
        <v>0.13808305461490666</v>
      </c>
      <c r="O69" s="88">
        <f t="shared" si="38"/>
        <v>0.12834911981825325</v>
      </c>
      <c r="P69" s="88">
        <f t="shared" si="38"/>
        <v>0.11184502737362355</v>
      </c>
      <c r="Q69" s="88">
        <f t="shared" si="38"/>
        <v>9.1730028156440144E-2</v>
      </c>
      <c r="R69" s="88">
        <f t="shared" si="38"/>
        <v>7.1053060587443526E-2</v>
      </c>
      <c r="S69" s="88">
        <f t="shared" si="38"/>
        <v>5.2140231712973321E-2</v>
      </c>
      <c r="T69" s="88">
        <f t="shared" si="38"/>
        <v>3.6348519734064944E-2</v>
      </c>
      <c r="U69" s="88">
        <f t="shared" si="38"/>
        <v>2.4132993868770183E-2</v>
      </c>
      <c r="V69" s="88">
        <f t="shared" si="38"/>
        <v>1.5294394559759809E-2</v>
      </c>
      <c r="W69" s="88">
        <f t="shared" si="38"/>
        <v>9.2714619821265519E-3</v>
      </c>
      <c r="X69" s="88">
        <f t="shared" si="38"/>
        <v>5.3861785763329824E-3</v>
      </c>
      <c r="Y69" s="88">
        <f t="shared" si="31"/>
        <v>1.2503635610353165</v>
      </c>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80">
      <c r="A70" s="285">
        <f>VLOOKUP($D70,'Measure InputOutput_Out'!$A$4:$N$21,3,FALSE)</f>
        <v>4.9953631666669059E-2</v>
      </c>
      <c r="B70" s="286">
        <f>VLOOKUP($D70,'Measure InputOutput_Out'!$A$4:$N$21,11,FALSE)</f>
        <v>74.444690070180542</v>
      </c>
      <c r="C70" s="71" t="str">
        <f t="shared" si="28"/>
        <v>Warehouse</v>
      </c>
      <c r="D70" s="71" t="str">
        <f t="shared" si="29"/>
        <v>Advanced Rooftop Controller-Retro-Warehouse</v>
      </c>
      <c r="E70" s="88">
        <f t="shared" ref="E70:X70" si="39">E45*$A70*1000/8760</f>
        <v>1.2031572157170737E-2</v>
      </c>
      <c r="F70" s="88">
        <f t="shared" si="39"/>
        <v>1.8842538370666202E-2</v>
      </c>
      <c r="G70" s="88">
        <f t="shared" si="39"/>
        <v>3.7545641957389485E-2</v>
      </c>
      <c r="H70" s="88">
        <f t="shared" si="39"/>
        <v>6.5461765393757518E-2</v>
      </c>
      <c r="I70" s="88">
        <f t="shared" si="39"/>
        <v>0.10145264400724535</v>
      </c>
      <c r="J70" s="88">
        <f t="shared" si="39"/>
        <v>0.14150817691418585</v>
      </c>
      <c r="K70" s="88">
        <f t="shared" si="39"/>
        <v>0.17943494120313169</v>
      </c>
      <c r="L70" s="88">
        <f t="shared" si="39"/>
        <v>0.20856620390746008</v>
      </c>
      <c r="M70" s="88">
        <f t="shared" si="39"/>
        <v>0.2237787019493872</v>
      </c>
      <c r="N70" s="88">
        <f t="shared" si="39"/>
        <v>0.22295072075217445</v>
      </c>
      <c r="O70" s="88">
        <f t="shared" si="39"/>
        <v>0.20731741621303212</v>
      </c>
      <c r="P70" s="88">
        <f t="shared" si="39"/>
        <v>0.18073154905141328</v>
      </c>
      <c r="Q70" s="88">
        <f t="shared" si="39"/>
        <v>0.14828704661640707</v>
      </c>
      <c r="R70" s="88">
        <f t="shared" si="39"/>
        <v>0.11490763242305398</v>
      </c>
      <c r="S70" s="88">
        <f t="shared" si="39"/>
        <v>8.4355507292802417E-2</v>
      </c>
      <c r="T70" s="88">
        <f t="shared" si="39"/>
        <v>5.8830374341073105E-2</v>
      </c>
      <c r="U70" s="88">
        <f t="shared" si="39"/>
        <v>3.9075134637340754E-2</v>
      </c>
      <c r="V70" s="88">
        <f t="shared" si="39"/>
        <v>2.4773990588570782E-2</v>
      </c>
      <c r="W70" s="88">
        <f t="shared" si="39"/>
        <v>1.5024025022935169E-2</v>
      </c>
      <c r="X70" s="88">
        <f t="shared" si="39"/>
        <v>8.7315877427039321E-3</v>
      </c>
      <c r="Y70" s="88">
        <f t="shared" si="31"/>
        <v>2.0269768238713999</v>
      </c>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1:80">
      <c r="A71" s="285">
        <f>VLOOKUP($D71,'Measure InputOutput_Out'!$A$4:$N$21,3,FALSE)</f>
        <v>0.98809785745715661</v>
      </c>
      <c r="B71" s="286">
        <f>VLOOKUP($D71,'Measure InputOutput_Out'!$A$4:$N$21,11,FALSE)</f>
        <v>22.614238448146263</v>
      </c>
      <c r="C71" s="71" t="str">
        <f t="shared" si="28"/>
        <v>Supermarket</v>
      </c>
      <c r="D71" s="71" t="str">
        <f t="shared" si="29"/>
        <v>Advanced Rooftop Controller-Retro-Supermarket</v>
      </c>
      <c r="E71" s="88">
        <f t="shared" ref="E71:X71" si="40">E46*$A71*1000/8760</f>
        <v>2.8493411459779228E-2</v>
      </c>
      <c r="F71" s="88">
        <f t="shared" si="40"/>
        <v>4.4385897107653935E-2</v>
      </c>
      <c r="G71" s="88">
        <f t="shared" si="40"/>
        <v>8.7972848067370116E-2</v>
      </c>
      <c r="H71" s="88">
        <f t="shared" si="40"/>
        <v>0.15256691176083662</v>
      </c>
      <c r="I71" s="88">
        <f t="shared" si="40"/>
        <v>0.23519037041887189</v>
      </c>
      <c r="J71" s="88">
        <f t="shared" si="40"/>
        <v>0.32630311991914268</v>
      </c>
      <c r="K71" s="88">
        <f t="shared" si="40"/>
        <v>0.41155722597801714</v>
      </c>
      <c r="L71" s="88">
        <f t="shared" si="40"/>
        <v>0.4758287461015841</v>
      </c>
      <c r="M71" s="88">
        <f t="shared" si="40"/>
        <v>0.5078190787241057</v>
      </c>
      <c r="N71" s="88">
        <f t="shared" si="40"/>
        <v>0.50324870701558877</v>
      </c>
      <c r="O71" s="88">
        <f t="shared" si="40"/>
        <v>0.46547150407561899</v>
      </c>
      <c r="P71" s="88">
        <f t="shared" si="40"/>
        <v>0.40362197797157073</v>
      </c>
      <c r="Q71" s="88">
        <f t="shared" si="40"/>
        <v>0.32940301896338642</v>
      </c>
      <c r="R71" s="88">
        <f t="shared" si="40"/>
        <v>0.2538965269498904</v>
      </c>
      <c r="S71" s="88">
        <f t="shared" si="40"/>
        <v>0.18539791657383103</v>
      </c>
      <c r="T71" s="88">
        <f t="shared" si="40"/>
        <v>0.12861053472726611</v>
      </c>
      <c r="U71" s="88">
        <f t="shared" si="40"/>
        <v>8.4968693276480461E-2</v>
      </c>
      <c r="V71" s="88">
        <f t="shared" si="40"/>
        <v>5.3584347750813277E-2</v>
      </c>
      <c r="W71" s="88">
        <f t="shared" si="40"/>
        <v>3.2323010464991128E-2</v>
      </c>
      <c r="X71" s="88">
        <f t="shared" si="40"/>
        <v>1.8685393632969397E-2</v>
      </c>
      <c r="Y71" s="88">
        <f t="shared" si="31"/>
        <v>4.3376830142480367</v>
      </c>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1:80">
      <c r="A72" s="285">
        <f>VLOOKUP($D72,'Measure InputOutput_Out'!$A$4:$N$21,3,FALSE)</f>
        <v>0.98809785745715661</v>
      </c>
      <c r="B72" s="286">
        <f>VLOOKUP($D72,'Measure InputOutput_Out'!$A$4:$N$21,11,FALSE)</f>
        <v>22.614238448146263</v>
      </c>
      <c r="C72" s="71" t="str">
        <f t="shared" si="28"/>
        <v>MiniMart</v>
      </c>
      <c r="D72" s="71" t="str">
        <f t="shared" si="29"/>
        <v>Advanced Rooftop Controller-Retro-MiniMart</v>
      </c>
      <c r="E72" s="88">
        <f t="shared" ref="E72:X72" si="41">E47*$A72*1000/8760</f>
        <v>1.1929162239300628E-2</v>
      </c>
      <c r="F72" s="88">
        <f t="shared" si="41"/>
        <v>1.8663028540710513E-2</v>
      </c>
      <c r="G72" s="88">
        <f t="shared" si="41"/>
        <v>3.7149878091996741E-2</v>
      </c>
      <c r="H72" s="88">
        <f t="shared" si="41"/>
        <v>6.4705428667954437E-2</v>
      </c>
      <c r="I72" s="88">
        <f t="shared" si="41"/>
        <v>0.1001778074027759</v>
      </c>
      <c r="J72" s="88">
        <f t="shared" si="41"/>
        <v>0.13958695541256869</v>
      </c>
      <c r="K72" s="88">
        <f t="shared" si="41"/>
        <v>0.17681758816020907</v>
      </c>
      <c r="L72" s="88">
        <f t="shared" si="41"/>
        <v>0.20531351066810835</v>
      </c>
      <c r="M72" s="88">
        <f t="shared" si="41"/>
        <v>0.22006323327450519</v>
      </c>
      <c r="N72" s="88">
        <f t="shared" si="41"/>
        <v>0.21902453481344952</v>
      </c>
      <c r="O72" s="88">
        <f t="shared" si="41"/>
        <v>0.20345802307518823</v>
      </c>
      <c r="P72" s="88">
        <f t="shared" si="41"/>
        <v>0.17718548855548902</v>
      </c>
      <c r="Q72" s="88">
        <f t="shared" si="41"/>
        <v>0.14522873074665282</v>
      </c>
      <c r="R72" s="88">
        <f t="shared" si="41"/>
        <v>0.11242252866252239</v>
      </c>
      <c r="S72" s="88">
        <f t="shared" si="41"/>
        <v>8.2446658977963064E-2</v>
      </c>
      <c r="T72" s="88">
        <f t="shared" si="41"/>
        <v>5.7440257523310757E-2</v>
      </c>
      <c r="U72" s="88">
        <f t="shared" si="41"/>
        <v>3.8112759671867148E-2</v>
      </c>
      <c r="V72" s="88">
        <f t="shared" si="41"/>
        <v>2.4139097465773817E-2</v>
      </c>
      <c r="W72" s="88">
        <f t="shared" si="41"/>
        <v>1.4624010998273953E-2</v>
      </c>
      <c r="X72" s="88">
        <f t="shared" si="41"/>
        <v>8.4904083053774886E-3</v>
      </c>
      <c r="Y72" s="88">
        <f t="shared" si="31"/>
        <v>1.9709887098810737</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c r="A73" s="285">
        <f>VLOOKUP($D73,'Measure InputOutput_Out'!$A$4:$N$21,3,FALSE)</f>
        <v>2.1564427486716466</v>
      </c>
      <c r="B73" s="286">
        <f>VLOOKUP($D73,'Measure InputOutput_Out'!$A$4:$N$21,11,FALSE)</f>
        <v>27.540932640005433</v>
      </c>
      <c r="C73" s="71" t="str">
        <f t="shared" si="28"/>
        <v>Restaurant</v>
      </c>
      <c r="D73" s="71" t="str">
        <f t="shared" si="29"/>
        <v>Advanced Rooftop Controller-Retro-Restaurant</v>
      </c>
      <c r="E73" s="88">
        <f t="shared" ref="E73:X73" si="42">E48*$A73*1000/8760</f>
        <v>5.967256639984285E-2</v>
      </c>
      <c r="F73" s="88">
        <f t="shared" si="42"/>
        <v>9.3357000892210315E-2</v>
      </c>
      <c r="G73" s="88">
        <f t="shared" si="42"/>
        <v>0.18583271169599819</v>
      </c>
      <c r="H73" s="88">
        <f t="shared" si="42"/>
        <v>0.32367226726938808</v>
      </c>
      <c r="I73" s="88">
        <f t="shared" si="42"/>
        <v>0.50111371981669672</v>
      </c>
      <c r="J73" s="88">
        <f t="shared" si="42"/>
        <v>0.69824784828282627</v>
      </c>
      <c r="K73" s="88">
        <f t="shared" si="42"/>
        <v>0.88448451437682207</v>
      </c>
      <c r="L73" s="88">
        <f t="shared" si="42"/>
        <v>1.0270280387137907</v>
      </c>
      <c r="M73" s="88">
        <f t="shared" si="42"/>
        <v>1.1008097330149889</v>
      </c>
      <c r="N73" s="88">
        <f t="shared" si="42"/>
        <v>1.0956139110751584</v>
      </c>
      <c r="O73" s="88">
        <f t="shared" si="42"/>
        <v>1.0177464391872257</v>
      </c>
      <c r="P73" s="88">
        <f t="shared" si="42"/>
        <v>0.88632484149497859</v>
      </c>
      <c r="Q73" s="88">
        <f t="shared" si="42"/>
        <v>0.72646937855315896</v>
      </c>
      <c r="R73" s="88">
        <f t="shared" si="42"/>
        <v>0.56236478906719134</v>
      </c>
      <c r="S73" s="88">
        <f t="shared" si="42"/>
        <v>0.41241820956206016</v>
      </c>
      <c r="T73" s="88">
        <f t="shared" si="42"/>
        <v>0.28733011692904797</v>
      </c>
      <c r="U73" s="88">
        <f t="shared" si="42"/>
        <v>0.19064927918476191</v>
      </c>
      <c r="V73" s="88">
        <f t="shared" si="42"/>
        <v>0.12074962746446101</v>
      </c>
      <c r="W73" s="88">
        <f t="shared" si="42"/>
        <v>7.3152854309549195E-2</v>
      </c>
      <c r="X73" s="88">
        <f t="shared" si="42"/>
        <v>4.247108415503606E-2</v>
      </c>
      <c r="Y73" s="88">
        <f t="shared" si="31"/>
        <v>9.8593641619056669</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c r="A74" s="285">
        <f>VLOOKUP($D74,'Measure InputOutput_Out'!$A$4:$N$21,3,FALSE)</f>
        <v>0.12235600665603641</v>
      </c>
      <c r="B74" s="286">
        <f>VLOOKUP($D74,'Measure InputOutput_Out'!$A$4:$N$21,11,FALSE)</f>
        <v>46.229060844235001</v>
      </c>
      <c r="C74" s="71" t="str">
        <f t="shared" si="28"/>
        <v>Lodging</v>
      </c>
      <c r="D74" s="71" t="str">
        <f t="shared" si="29"/>
        <v>Advanced Rooftop Controller-Retro-Lodging</v>
      </c>
      <c r="E74" s="88">
        <f t="shared" ref="E74:X74" si="43">E49*$A74*1000/8760</f>
        <v>1.1175397497204354E-2</v>
      </c>
      <c r="F74" s="88">
        <f t="shared" si="43"/>
        <v>1.7524527528413655E-2</v>
      </c>
      <c r="G74" s="88">
        <f t="shared" si="43"/>
        <v>3.4964937324690935E-2</v>
      </c>
      <c r="H74" s="88">
        <f t="shared" si="43"/>
        <v>6.1041787581445447E-2</v>
      </c>
      <c r="I74" s="88">
        <f t="shared" si="43"/>
        <v>9.4726002453055513E-2</v>
      </c>
      <c r="J74" s="88">
        <f t="shared" si="43"/>
        <v>0.13229812406603539</v>
      </c>
      <c r="K74" s="88">
        <f t="shared" si="43"/>
        <v>0.1679753199959888</v>
      </c>
      <c r="L74" s="88">
        <f t="shared" si="43"/>
        <v>0.19550087576599823</v>
      </c>
      <c r="M74" s="88">
        <f t="shared" si="43"/>
        <v>0.21003411009986434</v>
      </c>
      <c r="N74" s="88">
        <f t="shared" si="43"/>
        <v>0.20953002823562467</v>
      </c>
      <c r="O74" s="88">
        <f t="shared" si="43"/>
        <v>0.19509201242333543</v>
      </c>
      <c r="P74" s="88">
        <f t="shared" si="43"/>
        <v>0.17029581764432933</v>
      </c>
      <c r="Q74" s="88">
        <f t="shared" si="43"/>
        <v>0.13990702985575057</v>
      </c>
      <c r="R74" s="88">
        <f t="shared" si="43"/>
        <v>0.10855541898763095</v>
      </c>
      <c r="S74" s="88">
        <f t="shared" si="43"/>
        <v>7.9796231776255416E-2</v>
      </c>
      <c r="T74" s="88">
        <f t="shared" si="43"/>
        <v>5.5723304573994485E-2</v>
      </c>
      <c r="U74" s="88">
        <f t="shared" si="43"/>
        <v>3.7059712428677935E-2</v>
      </c>
      <c r="V74" s="88">
        <f t="shared" si="43"/>
        <v>2.352685307563129E-2</v>
      </c>
      <c r="W74" s="88">
        <f t="shared" si="43"/>
        <v>1.4286323512847934E-2</v>
      </c>
      <c r="X74" s="88">
        <f t="shared" si="43"/>
        <v>8.313687862909579E-3</v>
      </c>
      <c r="Y74" s="88">
        <f t="shared" si="31"/>
        <v>1.9299642992306665</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c r="A75" s="285">
        <f>VLOOKUP($D75,'Measure InputOutput_Out'!$A$4:$N$21,3,FALSE)</f>
        <v>0.122195039062654</v>
      </c>
      <c r="B75" s="286">
        <f>VLOOKUP($D75,'Measure InputOutput_Out'!$A$4:$N$21,11,FALSE)</f>
        <v>50.092356838313059</v>
      </c>
      <c r="C75" s="71" t="str">
        <f t="shared" si="28"/>
        <v>Hospital</v>
      </c>
      <c r="D75" s="71" t="str">
        <f t="shared" si="29"/>
        <v>Advanced Rooftop Controller-Retro-Hospital</v>
      </c>
      <c r="E75" s="88">
        <f t="shared" ref="E75:X75" si="44">E50*$A75*1000/8760</f>
        <v>6.8891506273726019E-3</v>
      </c>
      <c r="F75" s="88">
        <f t="shared" si="44"/>
        <v>1.0806364222303145E-2</v>
      </c>
      <c r="G75" s="88">
        <f t="shared" si="44"/>
        <v>2.1567341714872623E-2</v>
      </c>
      <c r="H75" s="88">
        <f t="shared" si="44"/>
        <v>3.7663588020224938E-2</v>
      </c>
      <c r="I75" s="88">
        <f t="shared" si="44"/>
        <v>5.8464769199483832E-2</v>
      </c>
      <c r="J75" s="88">
        <f t="shared" si="44"/>
        <v>8.1678790457830844E-2</v>
      </c>
      <c r="K75" s="88">
        <f t="shared" si="44"/>
        <v>0.10373651908819746</v>
      </c>
      <c r="L75" s="88">
        <f t="shared" si="44"/>
        <v>0.12077178446446427</v>
      </c>
      <c r="M75" s="88">
        <f t="shared" si="44"/>
        <v>0.12978879169532645</v>
      </c>
      <c r="N75" s="88">
        <f t="shared" si="44"/>
        <v>0.12951623523276626</v>
      </c>
      <c r="O75" s="88">
        <f t="shared" si="44"/>
        <v>0.12062796772952575</v>
      </c>
      <c r="P75" s="88">
        <f t="shared" si="44"/>
        <v>0.1053278178726319</v>
      </c>
      <c r="Q75" s="88">
        <f t="shared" si="44"/>
        <v>8.6558400727728829E-2</v>
      </c>
      <c r="R75" s="88">
        <f t="shared" si="44"/>
        <v>6.7181821844822756E-2</v>
      </c>
      <c r="S75" s="88">
        <f t="shared" si="44"/>
        <v>4.9398440013962305E-2</v>
      </c>
      <c r="T75" s="88">
        <f t="shared" si="44"/>
        <v>3.4506292302952962E-2</v>
      </c>
      <c r="U75" s="88">
        <f t="shared" si="44"/>
        <v>2.2955886059411169E-2</v>
      </c>
      <c r="V75" s="88">
        <f t="shared" si="44"/>
        <v>1.4577613717345918E-2</v>
      </c>
      <c r="W75" s="88">
        <f t="shared" si="44"/>
        <v>8.854696095632884E-3</v>
      </c>
      <c r="X75" s="88">
        <f t="shared" si="44"/>
        <v>5.1543923864017897E-3</v>
      </c>
      <c r="Y75" s="88">
        <f t="shared" si="31"/>
        <v>1.1965560235142547</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A76" s="285">
        <f>VLOOKUP($D76,'Measure InputOutput_Out'!$A$4:$N$21,3,FALSE)</f>
        <v>0.75763738633758693</v>
      </c>
      <c r="B76" s="286">
        <f>VLOOKUP($D76,'Measure InputOutput_Out'!$A$4:$N$21,11,FALSE)</f>
        <v>25.049984802238548</v>
      </c>
      <c r="C76" s="71" t="str">
        <f t="shared" si="28"/>
        <v>Residential Care</v>
      </c>
      <c r="D76" s="71" t="str">
        <f t="shared" si="29"/>
        <v>Advanced Rooftop Controller-Retro-Residential Care</v>
      </c>
      <c r="E76" s="88">
        <f t="shared" ref="E76:X76" si="45">E51*$A76*1000/8760</f>
        <v>5.236046402262149E-2</v>
      </c>
      <c r="F76" s="88">
        <f t="shared" si="45"/>
        <v>8.2108255513460585E-2</v>
      </c>
      <c r="G76" s="88">
        <f t="shared" si="45"/>
        <v>0.16382239140045665</v>
      </c>
      <c r="H76" s="88">
        <f t="shared" si="45"/>
        <v>0.28600113090691731</v>
      </c>
      <c r="I76" s="88">
        <f t="shared" si="45"/>
        <v>0.44382291052204098</v>
      </c>
      <c r="J76" s="88">
        <f t="shared" si="45"/>
        <v>0.61986082975150292</v>
      </c>
      <c r="K76" s="88">
        <f t="shared" si="45"/>
        <v>0.78702039024012693</v>
      </c>
      <c r="L76" s="88">
        <f t="shared" si="45"/>
        <v>0.91598679818747564</v>
      </c>
      <c r="M76" s="88">
        <f t="shared" si="45"/>
        <v>0.98407984755427358</v>
      </c>
      <c r="N76" s="88">
        <f t="shared" si="45"/>
        <v>0.98171805592014316</v>
      </c>
      <c r="O76" s="88">
        <f t="shared" si="45"/>
        <v>0.91407113708020704</v>
      </c>
      <c r="P76" s="88">
        <f t="shared" si="45"/>
        <v>0.79789269555731168</v>
      </c>
      <c r="Q76" s="88">
        <f t="shared" si="45"/>
        <v>0.65551109077833136</v>
      </c>
      <c r="R76" s="88">
        <f t="shared" si="45"/>
        <v>0.508618338791472</v>
      </c>
      <c r="S76" s="88">
        <f t="shared" si="45"/>
        <v>0.37387195615248608</v>
      </c>
      <c r="T76" s="88">
        <f t="shared" si="45"/>
        <v>0.26108226442040311</v>
      </c>
      <c r="U76" s="88">
        <f t="shared" si="45"/>
        <v>0.17363711132386273</v>
      </c>
      <c r="V76" s="88">
        <f t="shared" si="45"/>
        <v>0.11023115234516367</v>
      </c>
      <c r="W76" s="88">
        <f t="shared" si="45"/>
        <v>6.6936189831022605E-2</v>
      </c>
      <c r="X76" s="88">
        <f t="shared" si="45"/>
        <v>3.8952400068997924E-2</v>
      </c>
      <c r="Y76" s="88">
        <f t="shared" si="31"/>
        <v>9.0425263423597162</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A77" s="285">
        <f>VLOOKUP($D77,'Measure InputOutput_Out'!$A$4:$N$21,3,FALSE)</f>
        <v>0.75826144027384157</v>
      </c>
      <c r="B77" s="286">
        <f>VLOOKUP($D77,'Measure InputOutput_Out'!$A$4:$N$21,11,FALSE)</f>
        <v>16.015295457716352</v>
      </c>
      <c r="C77" s="71" t="str">
        <f t="shared" si="28"/>
        <v>Assembly</v>
      </c>
      <c r="D77" s="71" t="str">
        <f t="shared" si="29"/>
        <v>Advanced Rooftop Controller-Retro-Assembly</v>
      </c>
      <c r="E77" s="88">
        <f t="shared" ref="E77:X77" si="46">E52*$A77*1000/8760</f>
        <v>0.15300118274816868</v>
      </c>
      <c r="F77" s="88">
        <f t="shared" si="46"/>
        <v>0.23942459814861411</v>
      </c>
      <c r="G77" s="88">
        <f t="shared" si="46"/>
        <v>0.47670075956984148</v>
      </c>
      <c r="H77" s="88">
        <f t="shared" si="46"/>
        <v>0.83048343378333389</v>
      </c>
      <c r="I77" s="88">
        <f t="shared" si="46"/>
        <v>1.2860669600236248</v>
      </c>
      <c r="J77" s="88">
        <f t="shared" si="46"/>
        <v>1.7924155287681787</v>
      </c>
      <c r="K77" s="88">
        <f t="shared" si="46"/>
        <v>2.2710208916976504</v>
      </c>
      <c r="L77" s="88">
        <f t="shared" si="46"/>
        <v>2.6376368409574948</v>
      </c>
      <c r="M77" s="88">
        <f t="shared" si="46"/>
        <v>2.8277874624078128</v>
      </c>
      <c r="N77" s="88">
        <f t="shared" si="46"/>
        <v>2.8151001226598096</v>
      </c>
      <c r="O77" s="88">
        <f t="shared" si="46"/>
        <v>2.6156383929910696</v>
      </c>
      <c r="P77" s="88">
        <f t="shared" si="46"/>
        <v>2.2784150334760325</v>
      </c>
      <c r="Q77" s="88">
        <f t="shared" si="46"/>
        <v>1.8679232720997081</v>
      </c>
      <c r="R77" s="88">
        <f t="shared" si="46"/>
        <v>1.4463108512369136</v>
      </c>
      <c r="S77" s="88">
        <f t="shared" si="46"/>
        <v>1.0609212795639207</v>
      </c>
      <c r="T77" s="88">
        <f t="shared" si="46"/>
        <v>0.73931289559605806</v>
      </c>
      <c r="U77" s="88">
        <f t="shared" si="46"/>
        <v>0.49066389671410005</v>
      </c>
      <c r="V77" s="88">
        <f t="shared" si="46"/>
        <v>0.31083974177720364</v>
      </c>
      <c r="W77" s="88">
        <f t="shared" si="46"/>
        <v>0.1883578915029315</v>
      </c>
      <c r="X77" s="88">
        <f t="shared" si="46"/>
        <v>0.10938246225066582</v>
      </c>
      <c r="Y77" s="88">
        <f t="shared" si="31"/>
        <v>25.392371061649399</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A78" s="285">
        <f>VLOOKUP($D78,'Measure InputOutput_Out'!$A$4:$N$21,3,FALSE)</f>
        <v>0.15178749688730306</v>
      </c>
      <c r="B78" s="286">
        <f>VLOOKUP($D78,'Measure InputOutput_Out'!$A$4:$N$21,11,FALSE)</f>
        <v>38.787029661676023</v>
      </c>
      <c r="C78" s="71" t="str">
        <f t="shared" si="28"/>
        <v>Other</v>
      </c>
      <c r="D78" s="71" t="str">
        <f t="shared" si="29"/>
        <v>Advanced Rooftop Controller-Retro-Other</v>
      </c>
      <c r="E78" s="88">
        <f t="shared" ref="E78:X78" si="47">E53*$A78*1000/8760</f>
        <v>2.7918204227823311E-2</v>
      </c>
      <c r="F78" s="88">
        <f t="shared" si="47"/>
        <v>4.3489862280472462E-2</v>
      </c>
      <c r="G78" s="88">
        <f t="shared" si="47"/>
        <v>8.6196907039896437E-2</v>
      </c>
      <c r="H78" s="88">
        <f t="shared" si="47"/>
        <v>0.14948698603394045</v>
      </c>
      <c r="I78" s="88">
        <f t="shared" si="47"/>
        <v>0.23044249380387657</v>
      </c>
      <c r="J78" s="88">
        <f t="shared" si="47"/>
        <v>0.31971591590349813</v>
      </c>
      <c r="K78" s="88">
        <f t="shared" si="47"/>
        <v>0.40324896520410319</v>
      </c>
      <c r="L78" s="88">
        <f t="shared" si="47"/>
        <v>0.46622301193681076</v>
      </c>
      <c r="M78" s="88">
        <f t="shared" si="47"/>
        <v>0.49756754366240841</v>
      </c>
      <c r="N78" s="88">
        <f t="shared" si="47"/>
        <v>0.49308943576944658</v>
      </c>
      <c r="O78" s="88">
        <f t="shared" si="47"/>
        <v>0.45607485545768733</v>
      </c>
      <c r="P78" s="88">
        <f t="shared" si="47"/>
        <v>0.39547390903874657</v>
      </c>
      <c r="Q78" s="88">
        <f t="shared" si="47"/>
        <v>0.32275323611785689</v>
      </c>
      <c r="R78" s="88">
        <f t="shared" si="47"/>
        <v>0.24877102210550847</v>
      </c>
      <c r="S78" s="88">
        <f t="shared" si="47"/>
        <v>0.1816552189837807</v>
      </c>
      <c r="T78" s="88">
        <f t="shared" si="47"/>
        <v>0.12601422540904819</v>
      </c>
      <c r="U78" s="88">
        <f t="shared" si="47"/>
        <v>8.3253398253577832E-2</v>
      </c>
      <c r="V78" s="88">
        <f t="shared" si="47"/>
        <v>5.2502620335006397E-2</v>
      </c>
      <c r="W78" s="88">
        <f t="shared" si="47"/>
        <v>3.1670493675125699E-2</v>
      </c>
      <c r="X78" s="88">
        <f t="shared" si="47"/>
        <v>1.830818455202805E-2</v>
      </c>
      <c r="Y78" s="88">
        <f t="shared" si="31"/>
        <v>4.2501165730288157</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A79" s="236"/>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D80" s="93"/>
      <c r="E80" s="93">
        <f>SUM(E61:E79)</f>
        <v>0.71877137749439846</v>
      </c>
      <c r="F80" s="93">
        <f t="shared" ref="F80:X80" si="48">SUM(F61:F79)</f>
        <v>1.1247906718079712</v>
      </c>
      <c r="G80" s="93">
        <f t="shared" si="48"/>
        <v>2.2395293997395957</v>
      </c>
      <c r="H80" s="93">
        <f t="shared" si="48"/>
        <v>3.9016734074616854</v>
      </c>
      <c r="I80" s="93">
        <f t="shared" si="48"/>
        <v>6.0421786855423907</v>
      </c>
      <c r="J80" s="93">
        <f t="shared" si="48"/>
        <v>8.4213118506112039</v>
      </c>
      <c r="K80" s="93">
        <f t="shared" si="48"/>
        <v>10.670242091780482</v>
      </c>
      <c r="L80" s="93">
        <f t="shared" si="48"/>
        <v>12.393137127413491</v>
      </c>
      <c r="M80" s="93">
        <f t="shared" si="48"/>
        <v>13.287006526463205</v>
      </c>
      <c r="N80" s="93">
        <f t="shared" si="48"/>
        <v>13.227853396909259</v>
      </c>
      <c r="O80" s="93">
        <f t="shared" si="48"/>
        <v>12.291061355217268</v>
      </c>
      <c r="P80" s="93">
        <f t="shared" si="48"/>
        <v>10.706849209804181</v>
      </c>
      <c r="Q80" s="93">
        <f t="shared" si="48"/>
        <v>8.7782117840612557</v>
      </c>
      <c r="R80" s="93">
        <f t="shared" si="48"/>
        <v>6.7971654858758788</v>
      </c>
      <c r="S80" s="93">
        <f t="shared" si="48"/>
        <v>4.9861982138959844</v>
      </c>
      <c r="T80" s="93">
        <f t="shared" si="48"/>
        <v>3.4748482153770803</v>
      </c>
      <c r="U80" s="93">
        <f t="shared" si="48"/>
        <v>2.3062895813174742</v>
      </c>
      <c r="V80" s="93">
        <f t="shared" si="48"/>
        <v>1.4611319710194397</v>
      </c>
      <c r="W80" s="93">
        <f t="shared" si="48"/>
        <v>0.88544356712897088</v>
      </c>
      <c r="X80" s="93">
        <f t="shared" si="48"/>
        <v>0.51422112523463359</v>
      </c>
      <c r="Y80" s="93">
        <f>SUM(Y61:Y79)</f>
        <v>119.37282587197582</v>
      </c>
      <c r="Z80" s="93"/>
      <c r="AA80" s="93"/>
      <c r="AB80" s="94"/>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1:79">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1:79">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1:79" ht="15">
      <c r="A83" s="95" t="s">
        <v>191</v>
      </c>
      <c r="B83" s="96"/>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1:79" ht="15">
      <c r="C84" s="97"/>
      <c r="D84" s="97"/>
      <c r="E84" s="91">
        <f>E59</f>
        <v>2016</v>
      </c>
      <c r="F84" s="91">
        <f t="shared" ref="F84:X84" si="49">F59</f>
        <v>2017</v>
      </c>
      <c r="G84" s="91">
        <f t="shared" si="49"/>
        <v>2018</v>
      </c>
      <c r="H84" s="91">
        <f t="shared" si="49"/>
        <v>2019</v>
      </c>
      <c r="I84" s="91">
        <f t="shared" si="49"/>
        <v>2020</v>
      </c>
      <c r="J84" s="91">
        <f t="shared" si="49"/>
        <v>2021</v>
      </c>
      <c r="K84" s="91">
        <f t="shared" si="49"/>
        <v>2022</v>
      </c>
      <c r="L84" s="91">
        <f t="shared" si="49"/>
        <v>2023</v>
      </c>
      <c r="M84" s="91">
        <f t="shared" si="49"/>
        <v>2024</v>
      </c>
      <c r="N84" s="91">
        <f t="shared" si="49"/>
        <v>2025</v>
      </c>
      <c r="O84" s="91">
        <f t="shared" si="49"/>
        <v>2026</v>
      </c>
      <c r="P84" s="91">
        <f t="shared" si="49"/>
        <v>2027</v>
      </c>
      <c r="Q84" s="91">
        <f t="shared" si="49"/>
        <v>2028</v>
      </c>
      <c r="R84" s="91">
        <f t="shared" si="49"/>
        <v>2029</v>
      </c>
      <c r="S84" s="91">
        <f t="shared" si="49"/>
        <v>2030</v>
      </c>
      <c r="T84" s="91">
        <f t="shared" si="49"/>
        <v>2031</v>
      </c>
      <c r="U84" s="91">
        <f t="shared" si="49"/>
        <v>2032</v>
      </c>
      <c r="V84" s="91">
        <f t="shared" si="49"/>
        <v>2033</v>
      </c>
      <c r="W84" s="91">
        <f t="shared" si="49"/>
        <v>2034</v>
      </c>
      <c r="X84" s="91">
        <f t="shared" si="49"/>
        <v>2035</v>
      </c>
      <c r="Y84" s="91" t="s">
        <v>36</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1:79" ht="15">
      <c r="C85" s="98" t="s">
        <v>188</v>
      </c>
      <c r="D85" s="98" t="s">
        <v>188</v>
      </c>
      <c r="E85" s="92" t="str">
        <f>CONCATENATE("aMW_",E$11)</f>
        <v>aMW_2016</v>
      </c>
      <c r="F85" s="92" t="str">
        <f t="shared" ref="F85:X85" si="50">CONCATENATE("aMW_",F$11)</f>
        <v>aMW_2017</v>
      </c>
      <c r="G85" s="92" t="str">
        <f t="shared" si="50"/>
        <v>aMW_2018</v>
      </c>
      <c r="H85" s="92" t="str">
        <f t="shared" si="50"/>
        <v>aMW_2019</v>
      </c>
      <c r="I85" s="92" t="str">
        <f t="shared" si="50"/>
        <v>aMW_2020</v>
      </c>
      <c r="J85" s="92" t="str">
        <f t="shared" si="50"/>
        <v>aMW_2021</v>
      </c>
      <c r="K85" s="92" t="str">
        <f t="shared" si="50"/>
        <v>aMW_2022</v>
      </c>
      <c r="L85" s="92" t="str">
        <f t="shared" si="50"/>
        <v>aMW_2023</v>
      </c>
      <c r="M85" s="92" t="str">
        <f t="shared" si="50"/>
        <v>aMW_2024</v>
      </c>
      <c r="N85" s="92" t="str">
        <f t="shared" si="50"/>
        <v>aMW_2025</v>
      </c>
      <c r="O85" s="92" t="str">
        <f t="shared" si="50"/>
        <v>aMW_2026</v>
      </c>
      <c r="P85" s="92" t="str">
        <f t="shared" si="50"/>
        <v>aMW_2027</v>
      </c>
      <c r="Q85" s="92" t="str">
        <f t="shared" si="50"/>
        <v>aMW_2028</v>
      </c>
      <c r="R85" s="92" t="str">
        <f t="shared" si="50"/>
        <v>aMW_2029</v>
      </c>
      <c r="S85" s="92" t="str">
        <f t="shared" si="50"/>
        <v>aMW_2030</v>
      </c>
      <c r="T85" s="92" t="str">
        <f t="shared" si="50"/>
        <v>aMW_2031</v>
      </c>
      <c r="U85" s="92" t="str">
        <f t="shared" si="50"/>
        <v>aMW_2032</v>
      </c>
      <c r="V85" s="92" t="str">
        <f t="shared" si="50"/>
        <v>aMW_2033</v>
      </c>
      <c r="W85" s="92" t="str">
        <f t="shared" si="50"/>
        <v>aMW_2034</v>
      </c>
      <c r="X85" s="92" t="str">
        <f t="shared" si="50"/>
        <v>aMW_2035</v>
      </c>
      <c r="Y85" s="92" t="s">
        <v>147</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1:79">
      <c r="B86" s="71" t="s">
        <v>192</v>
      </c>
      <c r="C86" s="99" t="s">
        <v>193</v>
      </c>
      <c r="D86" s="99" t="s">
        <v>194</v>
      </c>
      <c r="E86" s="88">
        <f>DSUM($B$60:$Y$78,E$60,$C$85:$D86)</f>
        <v>0</v>
      </c>
      <c r="F86" s="88">
        <f>DSUM($B$60:$Y$78,F$60,$C$85:$D86)</f>
        <v>0</v>
      </c>
      <c r="G86" s="88">
        <f>DSUM($B$60:$Y$78,G$60,$C$85:$D86)</f>
        <v>0</v>
      </c>
      <c r="H86" s="88">
        <f>DSUM($B$60:$Y$78,H$60,$C$85:$D86)</f>
        <v>0</v>
      </c>
      <c r="I86" s="88">
        <f>DSUM($B$60:$Y$78,I$60,$C$85:$D86)</f>
        <v>0</v>
      </c>
      <c r="J86" s="88">
        <f>DSUM($B$60:$Y$78,J$60,$C$85:$D86)</f>
        <v>0</v>
      </c>
      <c r="K86" s="88">
        <f>DSUM($B$60:$Y$78,K$60,$C$85:$D86)</f>
        <v>0</v>
      </c>
      <c r="L86" s="88">
        <f>DSUM($B$60:$Y$78,L$60,$C$85:$D86)</f>
        <v>0</v>
      </c>
      <c r="M86" s="88">
        <f>DSUM($B$60:$Y$78,M$60,$C$85:$D86)</f>
        <v>0</v>
      </c>
      <c r="N86" s="88">
        <f>DSUM($B$60:$Y$78,N$60,$C$85:$D86)</f>
        <v>0</v>
      </c>
      <c r="O86" s="88">
        <f>DSUM($B$60:$Y$78,O$60,$C$85:$D86)</f>
        <v>0</v>
      </c>
      <c r="P86" s="88">
        <f>DSUM($B$60:$Y$78,P$60,$C$85:$D86)</f>
        <v>0</v>
      </c>
      <c r="Q86" s="88">
        <f>DSUM($B$60:$Y$78,Q$60,$C$85:$D86)</f>
        <v>0</v>
      </c>
      <c r="R86" s="88">
        <f>DSUM($B$60:$Y$78,R$60,$C$85:$D86)</f>
        <v>0</v>
      </c>
      <c r="S86" s="88">
        <f>DSUM($B$60:$Y$78,S$60,$C$85:$D86)</f>
        <v>0</v>
      </c>
      <c r="T86" s="88">
        <f>DSUM($B$60:$Y$78,T$60,$C$85:$D86)</f>
        <v>0</v>
      </c>
      <c r="U86" s="88">
        <f>DSUM($B$60:$Y$78,U$60,$C$85:$D86)</f>
        <v>0</v>
      </c>
      <c r="V86" s="88">
        <f>DSUM($B$60:$Y$78,V$60,$C$85:$D86)</f>
        <v>0</v>
      </c>
      <c r="W86" s="88">
        <f>DSUM($B$60:$Y$78,W$60,$C$85:$D86)</f>
        <v>0</v>
      </c>
      <c r="X86" s="88">
        <f>DSUM($B$60:$Y$78,X$60,$C$85:$D86)</f>
        <v>0</v>
      </c>
      <c r="Y86" s="88">
        <f>DSUM($B$60:$Y$78,Y$60,$C$85:$D86)</f>
        <v>0</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1:79">
      <c r="B87" s="71" t="s">
        <v>195</v>
      </c>
      <c r="C87" s="99" t="s">
        <v>196</v>
      </c>
      <c r="D87" s="99" t="s">
        <v>197</v>
      </c>
      <c r="E87" s="88">
        <f>DSUM($B$60:$Y$78,E$60,$C$85:$D87)</f>
        <v>0.2133573478063916</v>
      </c>
      <c r="F87" s="88">
        <f>DSUM($B$60:$Y$78,F$60,$C$85:$D87)</f>
        <v>0.33383520862129418</v>
      </c>
      <c r="G87" s="88">
        <f>DSUM($B$60:$Y$78,G$60,$C$85:$D87)</f>
        <v>0.66459913332327258</v>
      </c>
      <c r="H87" s="88">
        <f>DSUM($B$60:$Y$78,H$60,$C$85:$D87)</f>
        <v>1.1576984602924749</v>
      </c>
      <c r="I87" s="88">
        <f>DSUM($B$60:$Y$78,I$60,$C$85:$D87)</f>
        <v>1.7925802959168675</v>
      </c>
      <c r="J87" s="88">
        <f>DSUM($B$60:$Y$78,J$60,$C$85:$D87)</f>
        <v>2.4980681971779086</v>
      </c>
      <c r="K87" s="88">
        <f>DSUM($B$60:$Y$78,K$60,$C$85:$D87)</f>
        <v>3.1647344698720437</v>
      </c>
      <c r="L87" s="88">
        <f>DSUM($B$60:$Y$78,L$60,$C$85:$D87)</f>
        <v>3.6752061398624036</v>
      </c>
      <c r="M87" s="88">
        <f>DSUM($B$60:$Y$78,M$60,$C$85:$D87)</f>
        <v>3.9397078986666525</v>
      </c>
      <c r="N87" s="88">
        <f>DSUM($B$60:$Y$78,N$60,$C$85:$D87)</f>
        <v>3.9215852423327862</v>
      </c>
      <c r="O87" s="88">
        <f>DSUM($B$60:$Y$78,O$60,$C$85:$D87)</f>
        <v>3.6433095535368558</v>
      </c>
      <c r="P87" s="88">
        <f>DSUM($B$60:$Y$78,P$60,$C$85:$D87)</f>
        <v>3.1732315383917591</v>
      </c>
      <c r="Q87" s="88">
        <f>DSUM($B$60:$Y$78,Q$60,$C$85:$D87)</f>
        <v>2.601228554494833</v>
      </c>
      <c r="R87" s="88">
        <f>DSUM($B$60:$Y$78,R$60,$C$85:$D87)</f>
        <v>2.013871146889902</v>
      </c>
      <c r="S87" s="88">
        <f>DSUM($B$60:$Y$78,S$60,$C$85:$D87)</f>
        <v>1.4770790923473158</v>
      </c>
      <c r="T87" s="88">
        <f>DSUM($B$60:$Y$78,T$60,$C$85:$D87)</f>
        <v>1.0291991699657586</v>
      </c>
      <c r="U87" s="88">
        <f>DSUM($B$60:$Y$78,U$60,$C$85:$D87)</f>
        <v>0.68297656918927729</v>
      </c>
      <c r="V87" s="88">
        <f>DSUM($B$60:$Y$78,V$60,$C$85:$D87)</f>
        <v>0.4326221944360959</v>
      </c>
      <c r="W87" s="88">
        <f>DSUM($B$60:$Y$78,W$60,$C$85:$D87)</f>
        <v>0.26212390664277213</v>
      </c>
      <c r="X87" s="88">
        <f>DSUM($B$60:$Y$78,X$60,$C$85:$D87)</f>
        <v>0.15220224639211846</v>
      </c>
      <c r="Y87" s="88">
        <f>DSUM($B$60:$Y$78,Y$60,$C$85:$D87)</f>
        <v>35.33268347853209</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1:79">
      <c r="B88" s="71" t="s">
        <v>198</v>
      </c>
      <c r="C88" s="99" t="s">
        <v>199</v>
      </c>
      <c r="D88" s="99" t="s">
        <v>200</v>
      </c>
      <c r="E88" s="88">
        <f>DSUM($B$60:$Y$78,E$60,$C$85:$D88)</f>
        <v>0.36635853055456025</v>
      </c>
      <c r="F88" s="88">
        <f>DSUM($B$60:$Y$78,F$60,$C$85:$D88)</f>
        <v>0.57325980676990829</v>
      </c>
      <c r="G88" s="88">
        <f>DSUM($B$60:$Y$78,G$60,$C$85:$D88)</f>
        <v>1.1412998928931142</v>
      </c>
      <c r="H88" s="88">
        <f>DSUM($B$60:$Y$78,H$60,$C$85:$D88)</f>
        <v>1.9881818940758089</v>
      </c>
      <c r="I88" s="88">
        <f>DSUM($B$60:$Y$78,I$60,$C$85:$D88)</f>
        <v>3.078647255940492</v>
      </c>
      <c r="J88" s="88">
        <f>DSUM($B$60:$Y$78,J$60,$C$85:$D88)</f>
        <v>4.2904837259460873</v>
      </c>
      <c r="K88" s="88">
        <f>DSUM($B$60:$Y$78,K$60,$C$85:$D88)</f>
        <v>5.4357553615696936</v>
      </c>
      <c r="L88" s="88">
        <f>DSUM($B$60:$Y$78,L$60,$C$85:$D88)</f>
        <v>6.312842980819898</v>
      </c>
      <c r="M88" s="88">
        <f>DSUM($B$60:$Y$78,M$60,$C$85:$D88)</f>
        <v>6.7674953610744648</v>
      </c>
      <c r="N88" s="88">
        <f>DSUM($B$60:$Y$78,N$60,$C$85:$D88)</f>
        <v>6.7366853649925957</v>
      </c>
      <c r="O88" s="88">
        <f>DSUM($B$60:$Y$78,O$60,$C$85:$D88)</f>
        <v>6.2589479465279254</v>
      </c>
      <c r="P88" s="88">
        <f>DSUM($B$60:$Y$78,P$60,$C$85:$D88)</f>
        <v>5.4516465718677916</v>
      </c>
      <c r="Q88" s="88">
        <f>DSUM($B$60:$Y$78,Q$60,$C$85:$D88)</f>
        <v>4.4691518265945414</v>
      </c>
      <c r="R88" s="88">
        <f>DSUM($B$60:$Y$78,R$60,$C$85:$D88)</f>
        <v>3.4601819981268154</v>
      </c>
      <c r="S88" s="88">
        <f>DSUM($B$60:$Y$78,S$60,$C$85:$D88)</f>
        <v>2.5380003719112363</v>
      </c>
      <c r="T88" s="88">
        <f>DSUM($B$60:$Y$78,T$60,$C$85:$D88)</f>
        <v>1.7685120655618167</v>
      </c>
      <c r="U88" s="88">
        <f>DSUM($B$60:$Y$78,U$60,$C$85:$D88)</f>
        <v>1.1736404659033775</v>
      </c>
      <c r="V88" s="88">
        <f>DSUM($B$60:$Y$78,V$60,$C$85:$D88)</f>
        <v>0.74346193621329948</v>
      </c>
      <c r="W88" s="88">
        <f>DSUM($B$60:$Y$78,W$60,$C$85:$D88)</f>
        <v>0.45048179814570366</v>
      </c>
      <c r="X88" s="88">
        <f>DSUM($B$60:$Y$78,X$60,$C$85:$D88)</f>
        <v>0.26158470864278427</v>
      </c>
      <c r="Y88" s="88">
        <f>DSUM($B$60:$Y$78,Y$60,$C$85:$D88)</f>
        <v>60.725054540181489</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1:79">
      <c r="B89" s="71" t="s">
        <v>201</v>
      </c>
      <c r="C89" s="99" t="s">
        <v>202</v>
      </c>
      <c r="D89" s="99" t="s">
        <v>203</v>
      </c>
      <c r="E89" s="88">
        <f>DSUM($B$60:$Y$78,E$60,$C$85:$D89)</f>
        <v>0.5409380001301316</v>
      </c>
      <c r="F89" s="88">
        <f>DSUM($B$60:$Y$78,F$60,$C$85:$D89)</f>
        <v>0.84639067915727417</v>
      </c>
      <c r="G89" s="88">
        <f>DSUM($B$60:$Y$78,G$60,$C$85:$D89)</f>
        <v>1.6849926292645305</v>
      </c>
      <c r="H89" s="88">
        <f>DSUM($B$60:$Y$78,H$60,$C$85:$D89)</f>
        <v>2.9351739551309155</v>
      </c>
      <c r="I89" s="88">
        <f>DSUM($B$60:$Y$78,I$60,$C$85:$D89)</f>
        <v>4.5448317897824726</v>
      </c>
      <c r="J89" s="88">
        <f>DSUM($B$60:$Y$78,J$60,$C$85:$D89)</f>
        <v>6.3335170298329722</v>
      </c>
      <c r="K89" s="88">
        <f>DSUM($B$60:$Y$78,K$60,$C$85:$D89)</f>
        <v>8.0237988878010764</v>
      </c>
      <c r="L89" s="88">
        <f>DSUM($B$60:$Y$78,L$60,$C$85:$D89)</f>
        <v>9.3180967041129765</v>
      </c>
      <c r="M89" s="88">
        <f>DSUM($B$60:$Y$78,M$60,$C$85:$D89)</f>
        <v>9.9887911145471087</v>
      </c>
      <c r="N89" s="88">
        <f>DSUM($B$60:$Y$78,N$60,$C$85:$D89)</f>
        <v>9.942935224961543</v>
      </c>
      <c r="O89" s="88">
        <f>DSUM($B$60:$Y$78,O$60,$C$85:$D89)</f>
        <v>9.2374841966455516</v>
      </c>
      <c r="P89" s="88">
        <f>DSUM($B$60:$Y$78,P$60,$C$85:$D89)</f>
        <v>8.0457164774936381</v>
      </c>
      <c r="Q89" s="88">
        <f>DSUM($B$60:$Y$78,Q$60,$C$85:$D89)</f>
        <v>6.5954957007513162</v>
      </c>
      <c r="R89" s="88">
        <f>DSUM($B$60:$Y$78,R$60,$C$85:$D89)</f>
        <v>5.1063104289881149</v>
      </c>
      <c r="S89" s="88">
        <f>DSUM($B$60:$Y$78,S$60,$C$85:$D89)</f>
        <v>3.7452992738686923</v>
      </c>
      <c r="T89" s="88">
        <f>DSUM($B$60:$Y$78,T$60,$C$85:$D89)</f>
        <v>2.6096969630481999</v>
      </c>
      <c r="U89" s="88">
        <f>DSUM($B$60:$Y$78,U$60,$C$85:$D89)</f>
        <v>1.7318288453313349</v>
      </c>
      <c r="V89" s="88">
        <f>DSUM($B$60:$Y$78,V$60,$C$85:$D89)</f>
        <v>1.0970264640157508</v>
      </c>
      <c r="W89" s="88">
        <f>DSUM($B$60:$Y$78,W$60,$C$85:$D89)</f>
        <v>0.66469852615686975</v>
      </c>
      <c r="X89" s="88">
        <f>DSUM($B$60:$Y$78,X$60,$C$85:$D89)</f>
        <v>0.38596644643198008</v>
      </c>
      <c r="Y89" s="88">
        <f>DSUM($B$60:$Y$78,Y$60,$C$85:$D89)</f>
        <v>89.599402166387122</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1:79">
      <c r="B90" s="71" t="s">
        <v>204</v>
      </c>
      <c r="C90" s="99" t="s">
        <v>205</v>
      </c>
      <c r="D90" s="99" t="s">
        <v>206</v>
      </c>
      <c r="E90" s="88">
        <f>DSUM($B$60:$Y$78,E$60,$C$85:$D90)</f>
        <v>0.56885620435795492</v>
      </c>
      <c r="F90" s="88">
        <f>DSUM($B$60:$Y$78,F$60,$C$85:$D90)</f>
        <v>0.88988054143774664</v>
      </c>
      <c r="G90" s="88">
        <f>DSUM($B$60:$Y$78,G$60,$C$85:$D90)</f>
        <v>1.771189536304427</v>
      </c>
      <c r="H90" s="88">
        <f>DSUM($B$60:$Y$78,H$60,$C$85:$D90)</f>
        <v>3.0846609411648558</v>
      </c>
      <c r="I90" s="88">
        <f>DSUM($B$60:$Y$78,I$60,$C$85:$D90)</f>
        <v>4.7752742835863495</v>
      </c>
      <c r="J90" s="88">
        <f>DSUM($B$60:$Y$78,J$60,$C$85:$D90)</f>
        <v>6.6532329457364705</v>
      </c>
      <c r="K90" s="88">
        <f>DSUM($B$60:$Y$78,K$60,$C$85:$D90)</f>
        <v>8.4270478530051793</v>
      </c>
      <c r="L90" s="88">
        <f>DSUM($B$60:$Y$78,L$60,$C$85:$D90)</f>
        <v>9.7843197160497866</v>
      </c>
      <c r="M90" s="88">
        <f>DSUM($B$60:$Y$78,M$60,$C$85:$D90)</f>
        <v>10.486358658209516</v>
      </c>
      <c r="N90" s="88">
        <f>DSUM($B$60:$Y$78,N$60,$C$85:$D90)</f>
        <v>10.43602466073099</v>
      </c>
      <c r="O90" s="88">
        <f>DSUM($B$60:$Y$78,O$60,$C$85:$D90)</f>
        <v>9.6935590521032395</v>
      </c>
      <c r="P90" s="88">
        <f>DSUM($B$60:$Y$78,P$60,$C$85:$D90)</f>
        <v>8.4411903865323854</v>
      </c>
      <c r="Q90" s="88">
        <f>DSUM($B$60:$Y$78,Q$60,$C$85:$D90)</f>
        <v>6.9182489368691726</v>
      </c>
      <c r="R90" s="88">
        <f>DSUM($B$60:$Y$78,R$60,$C$85:$D90)</f>
        <v>5.3550814510936231</v>
      </c>
      <c r="S90" s="88">
        <f>DSUM($B$60:$Y$78,S$60,$C$85:$D90)</f>
        <v>3.9269544928524729</v>
      </c>
      <c r="T90" s="88">
        <f>DSUM($B$60:$Y$78,T$60,$C$85:$D90)</f>
        <v>2.7357111884572483</v>
      </c>
      <c r="U90" s="88">
        <f>DSUM($B$60:$Y$78,U$60,$C$85:$D90)</f>
        <v>1.8150822435849128</v>
      </c>
      <c r="V90" s="88">
        <f>DSUM($B$60:$Y$78,V$60,$C$85:$D90)</f>
        <v>1.1495290843507571</v>
      </c>
      <c r="W90" s="88">
        <f>DSUM($B$60:$Y$78,W$60,$C$85:$D90)</f>
        <v>0.6963690198319954</v>
      </c>
      <c r="X90" s="88">
        <f>DSUM($B$60:$Y$78,X$60,$C$85:$D90)</f>
        <v>0.40427463098400812</v>
      </c>
      <c r="Y90" s="88">
        <f>DSUM($B$60:$Y$78,Y$60,$C$85:$D90)</f>
        <v>93.849518739415942</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1:79">
      <c r="B91" s="71" t="s">
        <v>207</v>
      </c>
      <c r="C91" s="99" t="s">
        <v>208</v>
      </c>
      <c r="D91" s="99" t="s">
        <v>209</v>
      </c>
      <c r="E91" s="88">
        <f>DSUM($B$60:$Y$78,E$60,$C$85:$D91)</f>
        <v>0.58003160185515923</v>
      </c>
      <c r="F91" s="88">
        <f>DSUM($B$60:$Y$78,F$60,$C$85:$D91)</f>
        <v>0.90740506896616036</v>
      </c>
      <c r="G91" s="88">
        <f>DSUM($B$60:$Y$78,G$60,$C$85:$D91)</f>
        <v>1.8061544736291177</v>
      </c>
      <c r="H91" s="88">
        <f>DSUM($B$60:$Y$78,H$60,$C$85:$D91)</f>
        <v>3.1457027287463011</v>
      </c>
      <c r="I91" s="88">
        <f>DSUM($B$60:$Y$78,I$60,$C$85:$D91)</f>
        <v>4.8700002860394056</v>
      </c>
      <c r="J91" s="88">
        <f>DSUM($B$60:$Y$78,J$60,$C$85:$D91)</f>
        <v>6.7855310698025058</v>
      </c>
      <c r="K91" s="88">
        <f>DSUM($B$60:$Y$78,K$60,$C$85:$D91)</f>
        <v>8.5950231730011684</v>
      </c>
      <c r="L91" s="88">
        <f>DSUM($B$60:$Y$78,L$60,$C$85:$D91)</f>
        <v>9.9798205918157841</v>
      </c>
      <c r="M91" s="88">
        <f>DSUM($B$60:$Y$78,M$60,$C$85:$D91)</f>
        <v>10.69639276830938</v>
      </c>
      <c r="N91" s="88">
        <f>DSUM($B$60:$Y$78,N$60,$C$85:$D91)</f>
        <v>10.645554688966614</v>
      </c>
      <c r="O91" s="88">
        <f>DSUM($B$60:$Y$78,O$60,$C$85:$D91)</f>
        <v>9.8886510645265737</v>
      </c>
      <c r="P91" s="88">
        <f>DSUM($B$60:$Y$78,P$60,$C$85:$D91)</f>
        <v>8.6114862041767157</v>
      </c>
      <c r="Q91" s="88">
        <f>DSUM($B$60:$Y$78,Q$60,$C$85:$D91)</f>
        <v>7.0581559667249234</v>
      </c>
      <c r="R91" s="88">
        <f>DSUM($B$60:$Y$78,R$60,$C$85:$D91)</f>
        <v>5.4636368700812534</v>
      </c>
      <c r="S91" s="88">
        <f>DSUM($B$60:$Y$78,S$60,$C$85:$D91)</f>
        <v>4.0067507246287288</v>
      </c>
      <c r="T91" s="88">
        <f>DSUM($B$60:$Y$78,T$60,$C$85:$D91)</f>
        <v>2.7914344930312427</v>
      </c>
      <c r="U91" s="88">
        <f>DSUM($B$60:$Y$78,U$60,$C$85:$D91)</f>
        <v>1.8521419560135908</v>
      </c>
      <c r="V91" s="88">
        <f>DSUM($B$60:$Y$78,V$60,$C$85:$D91)</f>
        <v>1.1730559374263883</v>
      </c>
      <c r="W91" s="88">
        <f>DSUM($B$60:$Y$78,W$60,$C$85:$D91)</f>
        <v>0.71065534334484326</v>
      </c>
      <c r="X91" s="88">
        <f>DSUM($B$60:$Y$78,X$60,$C$85:$D91)</f>
        <v>0.41258831884691771</v>
      </c>
      <c r="Y91" s="88">
        <f>DSUM($B$60:$Y$78,Y$60,$C$85:$D91)</f>
        <v>95.779483038646617</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1:79">
      <c r="B92" s="71" t="s">
        <v>210</v>
      </c>
      <c r="C92" s="99" t="s">
        <v>211</v>
      </c>
      <c r="D92" s="99" t="s">
        <v>212</v>
      </c>
      <c r="E92" s="88">
        <f>DSUM($B$60:$Y$78,E$60,$C$85:$D92)</f>
        <v>0.58692075248253184</v>
      </c>
      <c r="F92" s="88">
        <f>DSUM($B$60:$Y$78,F$60,$C$85:$D92)</f>
        <v>0.91821143318846343</v>
      </c>
      <c r="G92" s="88">
        <f>DSUM($B$60:$Y$78,G$60,$C$85:$D92)</f>
        <v>1.8277218153439903</v>
      </c>
      <c r="H92" s="88">
        <f>DSUM($B$60:$Y$78,H$60,$C$85:$D92)</f>
        <v>3.1833663167665263</v>
      </c>
      <c r="I92" s="88">
        <f>DSUM($B$60:$Y$78,I$60,$C$85:$D92)</f>
        <v>4.9284650552388891</v>
      </c>
      <c r="J92" s="88">
        <f>DSUM($B$60:$Y$78,J$60,$C$85:$D92)</f>
        <v>6.8672098602603366</v>
      </c>
      <c r="K92" s="88">
        <f>DSUM($B$60:$Y$78,K$60,$C$85:$D92)</f>
        <v>8.6987596920893662</v>
      </c>
      <c r="L92" s="88">
        <f>DSUM($B$60:$Y$78,L$60,$C$85:$D92)</f>
        <v>10.100592376280249</v>
      </c>
      <c r="M92" s="88">
        <f>DSUM($B$60:$Y$78,M$60,$C$85:$D92)</f>
        <v>10.826181560004708</v>
      </c>
      <c r="N92" s="88">
        <f>DSUM($B$60:$Y$78,N$60,$C$85:$D92)</f>
        <v>10.775070924199381</v>
      </c>
      <c r="O92" s="88">
        <f>DSUM($B$60:$Y$78,O$60,$C$85:$D92)</f>
        <v>10.009279032256099</v>
      </c>
      <c r="P92" s="88">
        <f>DSUM($B$60:$Y$78,P$60,$C$85:$D92)</f>
        <v>8.7168140220493466</v>
      </c>
      <c r="Q92" s="88">
        <f>DSUM($B$60:$Y$78,Q$60,$C$85:$D92)</f>
        <v>7.1447143674526519</v>
      </c>
      <c r="R92" s="88">
        <f>DSUM($B$60:$Y$78,R$60,$C$85:$D92)</f>
        <v>5.5308186919260764</v>
      </c>
      <c r="S92" s="88">
        <f>DSUM($B$60:$Y$78,S$60,$C$85:$D92)</f>
        <v>4.056149164642691</v>
      </c>
      <c r="T92" s="88">
        <f>DSUM($B$60:$Y$78,T$60,$C$85:$D92)</f>
        <v>2.8259407853341956</v>
      </c>
      <c r="U92" s="88">
        <f>DSUM($B$60:$Y$78,U$60,$C$85:$D92)</f>
        <v>1.875097842073002</v>
      </c>
      <c r="V92" s="88">
        <f>DSUM($B$60:$Y$78,V$60,$C$85:$D92)</f>
        <v>1.1876335511437341</v>
      </c>
      <c r="W92" s="88">
        <f>DSUM($B$60:$Y$78,W$60,$C$85:$D92)</f>
        <v>0.71951003944047631</v>
      </c>
      <c r="X92" s="88">
        <f>DSUM($B$60:$Y$78,X$60,$C$85:$D92)</f>
        <v>0.41774271123331952</v>
      </c>
      <c r="Y92" s="88">
        <f>DSUM($B$60:$Y$78,Y$60,$C$85:$D92)</f>
        <v>96.976039062160865</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1:79">
      <c r="B93" s="71" t="s">
        <v>213</v>
      </c>
      <c r="C93" s="99" t="s">
        <v>214</v>
      </c>
      <c r="D93" s="99" t="s">
        <v>215</v>
      </c>
      <c r="E93" s="88">
        <f>DSUM($B$60:$Y$78,E$60,$C$85:$D93)</f>
        <v>0.64030613708948092</v>
      </c>
      <c r="F93" s="88">
        <f>DSUM($B$60:$Y$78,F$60,$C$85:$D93)</f>
        <v>1.001876552014862</v>
      </c>
      <c r="G93" s="88">
        <f>DSUM($B$60:$Y$78,G$60,$C$85:$D93)</f>
        <v>1.9945500622838284</v>
      </c>
      <c r="H93" s="88">
        <f>DSUM($B$60:$Y$78,H$60,$C$85:$D93)</f>
        <v>3.4744399006148088</v>
      </c>
      <c r="I93" s="88">
        <f>DSUM($B$60:$Y$78,I$60,$C$85:$D93)</f>
        <v>5.3798878422782597</v>
      </c>
      <c r="J93" s="88">
        <f>DSUM($B$60:$Y$78,J$60,$C$85:$D93)</f>
        <v>7.49730578640989</v>
      </c>
      <c r="K93" s="88">
        <f>DSUM($B$60:$Y$78,K$60,$C$85:$D93)</f>
        <v>9.4982941409253172</v>
      </c>
      <c r="L93" s="88">
        <f>DSUM($B$60:$Y$78,L$60,$C$85:$D93)</f>
        <v>11.030584196017934</v>
      </c>
      <c r="M93" s="88">
        <f>DSUM($B$60:$Y$78,M$60,$C$85:$D93)</f>
        <v>11.82470662307383</v>
      </c>
      <c r="N93" s="88">
        <f>DSUM($B$60:$Y$78,N$60,$C$85:$D93)</f>
        <v>11.770600412079295</v>
      </c>
      <c r="O93" s="88">
        <f>DSUM($B$60:$Y$78,O$60,$C$85:$D93)</f>
        <v>10.935652405044625</v>
      </c>
      <c r="P93" s="88">
        <f>DSUM($B$60:$Y$78,P$60,$C$85:$D93)</f>
        <v>9.5249589931357352</v>
      </c>
      <c r="Q93" s="88">
        <f>DSUM($B$60:$Y$78,Q$60,$C$85:$D93)</f>
        <v>7.808248926654052</v>
      </c>
      <c r="R93" s="88">
        <f>DSUM($B$60:$Y$78,R$60,$C$85:$D93)</f>
        <v>6.0453528795556961</v>
      </c>
      <c r="S93" s="88">
        <f>DSUM($B$60:$Y$78,S$60,$C$85:$D93)</f>
        <v>4.4341422273234405</v>
      </c>
      <c r="T93" s="88">
        <f>DSUM($B$60:$Y$78,T$60,$C$85:$D93)</f>
        <v>3.0897421437790902</v>
      </c>
      <c r="U93" s="88">
        <f>DSUM($B$60:$Y$78,U$60,$C$85:$D93)</f>
        <v>2.0504378116527082</v>
      </c>
      <c r="V93" s="88">
        <f>DSUM($B$60:$Y$78,V$60,$C$85:$D93)</f>
        <v>1.298878791843441</v>
      </c>
      <c r="W93" s="88">
        <f>DSUM($B$60:$Y$78,W$60,$C$85:$D93)</f>
        <v>0.78702139029641227</v>
      </c>
      <c r="X93" s="88">
        <f>DSUM($B$60:$Y$78,X$60,$C$85:$D93)</f>
        <v>0.45700618770194923</v>
      </c>
      <c r="Y93" s="88">
        <f>DSUM($B$60:$Y$78,Y$60,$C$85:$D93)</f>
        <v>106.09077960783473</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1:79">
      <c r="B94" s="71" t="s">
        <v>216</v>
      </c>
      <c r="C94" s="99" t="s">
        <v>217</v>
      </c>
      <c r="D94" s="99" t="s">
        <v>218</v>
      </c>
      <c r="E94" s="88">
        <f>DSUM($B$60:$Y$78,E$60,$C$85:$D94)</f>
        <v>0.6965146515149464</v>
      </c>
      <c r="F94" s="88">
        <f>DSUM($B$60:$Y$78,F$60,$C$85:$D94)</f>
        <v>1.0899486049912335</v>
      </c>
      <c r="G94" s="88">
        <f>DSUM($B$60:$Y$78,G$60,$C$85:$D94)</f>
        <v>2.1701309710540171</v>
      </c>
      <c r="H94" s="88">
        <f>DSUM($B$60:$Y$78,H$60,$C$85:$D94)</f>
        <v>3.7807240909877415</v>
      </c>
      <c r="I94" s="88">
        <f>DSUM($B$60:$Y$78,I$60,$C$85:$D94)</f>
        <v>5.8548066922235469</v>
      </c>
      <c r="J94" s="88">
        <f>DSUM($B$60:$Y$78,J$60,$C$85:$D94)</f>
        <v>8.1600665752064714</v>
      </c>
      <c r="K94" s="88">
        <f>DSUM($B$60:$Y$78,K$60,$C$85:$D94)</f>
        <v>10.339111330247935</v>
      </c>
      <c r="L94" s="88">
        <f>DSUM($B$60:$Y$78,L$60,$C$85:$D94)</f>
        <v>12.008401814434851</v>
      </c>
      <c r="M94" s="88">
        <f>DSUM($B$60:$Y$78,M$60,$C$85:$D94)</f>
        <v>12.874374943791207</v>
      </c>
      <c r="N94" s="88">
        <f>DSUM($B$60:$Y$78,N$60,$C$85:$D94)</f>
        <v>12.816913603726212</v>
      </c>
      <c r="O94" s="88">
        <f>DSUM($B$60:$Y$78,O$60,$C$85:$D94)</f>
        <v>11.909090077855007</v>
      </c>
      <c r="P94" s="88">
        <f>DSUM($B$60:$Y$78,P$60,$C$85:$D94)</f>
        <v>10.373994664069739</v>
      </c>
      <c r="Q94" s="88">
        <f>DSUM($B$60:$Y$78,Q$60,$C$85:$D94)</f>
        <v>8.505220149393196</v>
      </c>
      <c r="R94" s="88">
        <f>DSUM($B$60:$Y$78,R$60,$C$85:$D94)</f>
        <v>6.5857091989023848</v>
      </c>
      <c r="S94" s="88">
        <f>DSUM($B$60:$Y$78,S$60,$C$85:$D94)</f>
        <v>4.8310271388035284</v>
      </c>
      <c r="T94" s="88">
        <f>DSUM($B$60:$Y$78,T$60,$C$85:$D94)</f>
        <v>3.3666738037978772</v>
      </c>
      <c r="U94" s="88">
        <f>DSUM($B$60:$Y$78,U$60,$C$85:$D94)</f>
        <v>2.2344689836563218</v>
      </c>
      <c r="V94" s="88">
        <f>DSUM($B$60:$Y$78,V$60,$C$85:$D94)</f>
        <v>1.4156153407944225</v>
      </c>
      <c r="W94" s="88">
        <f>DSUM($B$60:$Y$78,W$60,$C$85:$D94)</f>
        <v>0.85785138588656484</v>
      </c>
      <c r="X94" s="88">
        <f>DSUM($B$60:$Y$78,X$60,$C$85:$D94)</f>
        <v>0.49819167747670223</v>
      </c>
      <c r="Y94" s="88">
        <f>DSUM($B$60:$Y$78,Y$60,$C$85:$D94)</f>
        <v>115.65170205552745</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1:79">
      <c r="B95" s="71" t="s">
        <v>219</v>
      </c>
      <c r="C95" s="99" t="s">
        <v>220</v>
      </c>
      <c r="D95" s="99" t="s">
        <v>221</v>
      </c>
      <c r="E95" s="88">
        <f>DSUM($B$60:$Y$78,E$60,$C$85:$D95)</f>
        <v>0.71877137749439846</v>
      </c>
      <c r="F95" s="88">
        <f>DSUM($B$60:$Y$78,F$60,$C$85:$D95)</f>
        <v>1.1247906718079712</v>
      </c>
      <c r="G95" s="88">
        <f>DSUM($B$60:$Y$78,G$60,$C$85:$D95)</f>
        <v>2.2395293997395957</v>
      </c>
      <c r="H95" s="88">
        <f>DSUM($B$60:$Y$78,H$60,$C$85:$D95)</f>
        <v>3.9016734074616854</v>
      </c>
      <c r="I95" s="88">
        <f>DSUM($B$60:$Y$78,I$60,$C$85:$D95)</f>
        <v>6.0421786855423907</v>
      </c>
      <c r="J95" s="88">
        <f>DSUM($B$60:$Y$78,J$60,$C$85:$D95)</f>
        <v>8.4213118506112039</v>
      </c>
      <c r="K95" s="88">
        <f>DSUM($B$60:$Y$78,K$60,$C$85:$D95)</f>
        <v>10.670242091780482</v>
      </c>
      <c r="L95" s="88">
        <f>DSUM($B$60:$Y$78,L$60,$C$85:$D95)</f>
        <v>12.393137127413491</v>
      </c>
      <c r="M95" s="88">
        <f>DSUM($B$60:$Y$78,M$60,$C$85:$D95)</f>
        <v>13.287006526463205</v>
      </c>
      <c r="N95" s="88">
        <f>DSUM($B$60:$Y$78,N$60,$C$85:$D95)</f>
        <v>13.227853396909259</v>
      </c>
      <c r="O95" s="88">
        <f>DSUM($B$60:$Y$78,O$60,$C$85:$D95)</f>
        <v>12.291061355217268</v>
      </c>
      <c r="P95" s="88">
        <f>DSUM($B$60:$Y$78,P$60,$C$85:$D95)</f>
        <v>10.706849209804181</v>
      </c>
      <c r="Q95" s="88">
        <f>DSUM($B$60:$Y$78,Q$60,$C$85:$D95)</f>
        <v>8.7782117840612557</v>
      </c>
      <c r="R95" s="88">
        <f>DSUM($B$60:$Y$78,R$60,$C$85:$D95)</f>
        <v>6.7971654858758788</v>
      </c>
      <c r="S95" s="88">
        <f>DSUM($B$60:$Y$78,S$60,$C$85:$D95)</f>
        <v>4.9861982138959844</v>
      </c>
      <c r="T95" s="88">
        <f>DSUM($B$60:$Y$78,T$60,$C$85:$D95)</f>
        <v>3.4748482153770803</v>
      </c>
      <c r="U95" s="88">
        <f>DSUM($B$60:$Y$78,U$60,$C$85:$D95)</f>
        <v>2.3062895813174742</v>
      </c>
      <c r="V95" s="88">
        <f>DSUM($B$60:$Y$78,V$60,$C$85:$D95)</f>
        <v>1.4611319710194397</v>
      </c>
      <c r="W95" s="88">
        <f>DSUM($B$60:$Y$78,W$60,$C$85:$D95)</f>
        <v>0.88544356712897088</v>
      </c>
      <c r="X95" s="88">
        <f>DSUM($B$60:$Y$78,X$60,$C$85:$D95)</f>
        <v>0.51422112523463359</v>
      </c>
      <c r="Y95" s="88">
        <f>DSUM($B$60:$Y$78,Y$60,$C$85:$D95)</f>
        <v>119.37282587197582</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79">
      <c r="B96" s="71" t="s">
        <v>222</v>
      </c>
      <c r="C96" s="99" t="s">
        <v>223</v>
      </c>
      <c r="D96" s="99" t="s">
        <v>224</v>
      </c>
      <c r="E96" s="88">
        <f>DSUM($B$60:$Y$78,E$60,$C$85:$D96)</f>
        <v>0.71877137749439846</v>
      </c>
      <c r="F96" s="88">
        <f>DSUM($B$60:$Y$78,F$60,$C$85:$D96)</f>
        <v>1.1247906718079712</v>
      </c>
      <c r="G96" s="88">
        <f>DSUM($B$60:$Y$78,G$60,$C$85:$D96)</f>
        <v>2.2395293997395957</v>
      </c>
      <c r="H96" s="88">
        <f>DSUM($B$60:$Y$78,H$60,$C$85:$D96)</f>
        <v>3.9016734074616854</v>
      </c>
      <c r="I96" s="88">
        <f>DSUM($B$60:$Y$78,I$60,$C$85:$D96)</f>
        <v>6.0421786855423907</v>
      </c>
      <c r="J96" s="88">
        <f>DSUM($B$60:$Y$78,J$60,$C$85:$D96)</f>
        <v>8.4213118506112039</v>
      </c>
      <c r="K96" s="88">
        <f>DSUM($B$60:$Y$78,K$60,$C$85:$D96)</f>
        <v>10.670242091780482</v>
      </c>
      <c r="L96" s="88">
        <f>DSUM($B$60:$Y$78,L$60,$C$85:$D96)</f>
        <v>12.393137127413491</v>
      </c>
      <c r="M96" s="88">
        <f>DSUM($B$60:$Y$78,M$60,$C$85:$D96)</f>
        <v>13.287006526463205</v>
      </c>
      <c r="N96" s="88">
        <f>DSUM($B$60:$Y$78,N$60,$C$85:$D96)</f>
        <v>13.227853396909259</v>
      </c>
      <c r="O96" s="88">
        <f>DSUM($B$60:$Y$78,O$60,$C$85:$D96)</f>
        <v>12.291061355217268</v>
      </c>
      <c r="P96" s="88">
        <f>DSUM($B$60:$Y$78,P$60,$C$85:$D96)</f>
        <v>10.706849209804181</v>
      </c>
      <c r="Q96" s="88">
        <f>DSUM($B$60:$Y$78,Q$60,$C$85:$D96)</f>
        <v>8.7782117840612557</v>
      </c>
      <c r="R96" s="88">
        <f>DSUM($B$60:$Y$78,R$60,$C$85:$D96)</f>
        <v>6.7971654858758788</v>
      </c>
      <c r="S96" s="88">
        <f>DSUM($B$60:$Y$78,S$60,$C$85:$D96)</f>
        <v>4.9861982138959844</v>
      </c>
      <c r="T96" s="88">
        <f>DSUM($B$60:$Y$78,T$60,$C$85:$D96)</f>
        <v>3.4748482153770803</v>
      </c>
      <c r="U96" s="88">
        <f>DSUM($B$60:$Y$78,U$60,$C$85:$D96)</f>
        <v>2.3062895813174742</v>
      </c>
      <c r="V96" s="88">
        <f>DSUM($B$60:$Y$78,V$60,$C$85:$D96)</f>
        <v>1.4611319710194397</v>
      </c>
      <c r="W96" s="88">
        <f>DSUM($B$60:$Y$78,W$60,$C$85:$D96)</f>
        <v>0.88544356712897088</v>
      </c>
      <c r="X96" s="88">
        <f>DSUM($B$60:$Y$78,X$60,$C$85:$D96)</f>
        <v>0.51422112523463359</v>
      </c>
      <c r="Y96" s="88">
        <f>DSUM($B$60:$Y$78,Y$60,$C$85:$D96)</f>
        <v>119.37282587197582</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2:79">
      <c r="B97" s="71" t="s">
        <v>225</v>
      </c>
      <c r="C97" s="99" t="s">
        <v>226</v>
      </c>
      <c r="D97" s="99" t="s">
        <v>227</v>
      </c>
      <c r="E97" s="88">
        <f>DSUM($B$60:$Y$78,E$60,$C$85:$D97)</f>
        <v>0.71877137749439846</v>
      </c>
      <c r="F97" s="88">
        <f>DSUM($B$60:$Y$78,F$60,$C$85:$D97)</f>
        <v>1.1247906718079712</v>
      </c>
      <c r="G97" s="88">
        <f>DSUM($B$60:$Y$78,G$60,$C$85:$D97)</f>
        <v>2.2395293997395957</v>
      </c>
      <c r="H97" s="88">
        <f>DSUM($B$60:$Y$78,H$60,$C$85:$D97)</f>
        <v>3.9016734074616854</v>
      </c>
      <c r="I97" s="88">
        <f>DSUM($B$60:$Y$78,I$60,$C$85:$D97)</f>
        <v>6.0421786855423907</v>
      </c>
      <c r="J97" s="88">
        <f>DSUM($B$60:$Y$78,J$60,$C$85:$D97)</f>
        <v>8.4213118506112039</v>
      </c>
      <c r="K97" s="88">
        <f>DSUM($B$60:$Y$78,K$60,$C$85:$D97)</f>
        <v>10.670242091780482</v>
      </c>
      <c r="L97" s="88">
        <f>DSUM($B$60:$Y$78,L$60,$C$85:$D97)</f>
        <v>12.393137127413491</v>
      </c>
      <c r="M97" s="88">
        <f>DSUM($B$60:$Y$78,M$60,$C$85:$D97)</f>
        <v>13.287006526463205</v>
      </c>
      <c r="N97" s="88">
        <f>DSUM($B$60:$Y$78,N$60,$C$85:$D97)</f>
        <v>13.227853396909259</v>
      </c>
      <c r="O97" s="88">
        <f>DSUM($B$60:$Y$78,O$60,$C$85:$D97)</f>
        <v>12.291061355217268</v>
      </c>
      <c r="P97" s="88">
        <f>DSUM($B$60:$Y$78,P$60,$C$85:$D97)</f>
        <v>10.706849209804181</v>
      </c>
      <c r="Q97" s="88">
        <f>DSUM($B$60:$Y$78,Q$60,$C$85:$D97)</f>
        <v>8.7782117840612557</v>
      </c>
      <c r="R97" s="88">
        <f>DSUM($B$60:$Y$78,R$60,$C$85:$D97)</f>
        <v>6.7971654858758788</v>
      </c>
      <c r="S97" s="88">
        <f>DSUM($B$60:$Y$78,S$60,$C$85:$D97)</f>
        <v>4.9861982138959844</v>
      </c>
      <c r="T97" s="88">
        <f>DSUM($B$60:$Y$78,T$60,$C$85:$D97)</f>
        <v>3.4748482153770803</v>
      </c>
      <c r="U97" s="88">
        <f>DSUM($B$60:$Y$78,U$60,$C$85:$D97)</f>
        <v>2.3062895813174742</v>
      </c>
      <c r="V97" s="88">
        <f>DSUM($B$60:$Y$78,V$60,$C$85:$D97)</f>
        <v>1.4611319710194397</v>
      </c>
      <c r="W97" s="88">
        <f>DSUM($B$60:$Y$78,W$60,$C$85:$D97)</f>
        <v>0.88544356712897088</v>
      </c>
      <c r="X97" s="88">
        <f>DSUM($B$60:$Y$78,X$60,$C$85:$D97)</f>
        <v>0.51422112523463359</v>
      </c>
      <c r="Y97" s="88">
        <f>DSUM($B$60:$Y$78,Y$60,$C$85:$D97)</f>
        <v>119.37282587197582</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2:79">
      <c r="B98" s="71" t="s">
        <v>228</v>
      </c>
      <c r="C98" s="99" t="s">
        <v>229</v>
      </c>
      <c r="D98" s="99" t="s">
        <v>230</v>
      </c>
      <c r="E98" s="88">
        <f>DSUM($B$60:$Y$78,E$60,$C$85:$D98)</f>
        <v>0.71877137749439846</v>
      </c>
      <c r="F98" s="88">
        <f>DSUM($B$60:$Y$78,F$60,$C$85:$D98)</f>
        <v>1.1247906718079712</v>
      </c>
      <c r="G98" s="88">
        <f>DSUM($B$60:$Y$78,G$60,$C$85:$D98)</f>
        <v>2.2395293997395957</v>
      </c>
      <c r="H98" s="88">
        <f>DSUM($B$60:$Y$78,H$60,$C$85:$D98)</f>
        <v>3.9016734074616854</v>
      </c>
      <c r="I98" s="88">
        <f>DSUM($B$60:$Y$78,I$60,$C$85:$D98)</f>
        <v>6.0421786855423907</v>
      </c>
      <c r="J98" s="88">
        <f>DSUM($B$60:$Y$78,J$60,$C$85:$D98)</f>
        <v>8.4213118506112039</v>
      </c>
      <c r="K98" s="88">
        <f>DSUM($B$60:$Y$78,K$60,$C$85:$D98)</f>
        <v>10.670242091780482</v>
      </c>
      <c r="L98" s="88">
        <f>DSUM($B$60:$Y$78,L$60,$C$85:$D98)</f>
        <v>12.393137127413491</v>
      </c>
      <c r="M98" s="88">
        <f>DSUM($B$60:$Y$78,M$60,$C$85:$D98)</f>
        <v>13.287006526463205</v>
      </c>
      <c r="N98" s="88">
        <f>DSUM($B$60:$Y$78,N$60,$C$85:$D98)</f>
        <v>13.227853396909259</v>
      </c>
      <c r="O98" s="88">
        <f>DSUM($B$60:$Y$78,O$60,$C$85:$D98)</f>
        <v>12.291061355217268</v>
      </c>
      <c r="P98" s="88">
        <f>DSUM($B$60:$Y$78,P$60,$C$85:$D98)</f>
        <v>10.706849209804181</v>
      </c>
      <c r="Q98" s="88">
        <f>DSUM($B$60:$Y$78,Q$60,$C$85:$D98)</f>
        <v>8.7782117840612557</v>
      </c>
      <c r="R98" s="88">
        <f>DSUM($B$60:$Y$78,R$60,$C$85:$D98)</f>
        <v>6.7971654858758788</v>
      </c>
      <c r="S98" s="88">
        <f>DSUM($B$60:$Y$78,S$60,$C$85:$D98)</f>
        <v>4.9861982138959844</v>
      </c>
      <c r="T98" s="88">
        <f>DSUM($B$60:$Y$78,T$60,$C$85:$D98)</f>
        <v>3.4748482153770803</v>
      </c>
      <c r="U98" s="88">
        <f>DSUM($B$60:$Y$78,U$60,$C$85:$D98)</f>
        <v>2.3062895813174742</v>
      </c>
      <c r="V98" s="88">
        <f>DSUM($B$60:$Y$78,V$60,$C$85:$D98)</f>
        <v>1.4611319710194397</v>
      </c>
      <c r="W98" s="88">
        <f>DSUM($B$60:$Y$78,W$60,$C$85:$D98)</f>
        <v>0.88544356712897088</v>
      </c>
      <c r="X98" s="88">
        <f>DSUM($B$60:$Y$78,X$60,$C$85:$D98)</f>
        <v>0.51422112523463359</v>
      </c>
      <c r="Y98" s="88">
        <f>DSUM($B$60:$Y$78,Y$60,$C$85:$D98)</f>
        <v>119.37282587197582</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2:79">
      <c r="B99" s="71" t="s">
        <v>231</v>
      </c>
      <c r="C99" s="99" t="s">
        <v>232</v>
      </c>
      <c r="D99" s="99" t="s">
        <v>233</v>
      </c>
      <c r="E99" s="88">
        <f>DSUM($B$60:$Y$78,E$60,$C$85:$D99)</f>
        <v>0.71877137749439846</v>
      </c>
      <c r="F99" s="88">
        <f>DSUM($B$60:$Y$78,F$60,$C$85:$D99)</f>
        <v>1.1247906718079712</v>
      </c>
      <c r="G99" s="88">
        <f>DSUM($B$60:$Y$78,G$60,$C$85:$D99)</f>
        <v>2.2395293997395957</v>
      </c>
      <c r="H99" s="88">
        <f>DSUM($B$60:$Y$78,H$60,$C$85:$D99)</f>
        <v>3.9016734074616854</v>
      </c>
      <c r="I99" s="88">
        <f>DSUM($B$60:$Y$78,I$60,$C$85:$D99)</f>
        <v>6.0421786855423907</v>
      </c>
      <c r="J99" s="88">
        <f>DSUM($B$60:$Y$78,J$60,$C$85:$D99)</f>
        <v>8.4213118506112039</v>
      </c>
      <c r="K99" s="88">
        <f>DSUM($B$60:$Y$78,K$60,$C$85:$D99)</f>
        <v>10.670242091780482</v>
      </c>
      <c r="L99" s="88">
        <f>DSUM($B$60:$Y$78,L$60,$C$85:$D99)</f>
        <v>12.393137127413491</v>
      </c>
      <c r="M99" s="88">
        <f>DSUM($B$60:$Y$78,M$60,$C$85:$D99)</f>
        <v>13.287006526463205</v>
      </c>
      <c r="N99" s="88">
        <f>DSUM($B$60:$Y$78,N$60,$C$85:$D99)</f>
        <v>13.227853396909259</v>
      </c>
      <c r="O99" s="88">
        <f>DSUM($B$60:$Y$78,O$60,$C$85:$D99)</f>
        <v>12.291061355217268</v>
      </c>
      <c r="P99" s="88">
        <f>DSUM($B$60:$Y$78,P$60,$C$85:$D99)</f>
        <v>10.706849209804181</v>
      </c>
      <c r="Q99" s="88">
        <f>DSUM($B$60:$Y$78,Q$60,$C$85:$D99)</f>
        <v>8.7782117840612557</v>
      </c>
      <c r="R99" s="88">
        <f>DSUM($B$60:$Y$78,R$60,$C$85:$D99)</f>
        <v>6.7971654858758788</v>
      </c>
      <c r="S99" s="88">
        <f>DSUM($B$60:$Y$78,S$60,$C$85:$D99)</f>
        <v>4.9861982138959844</v>
      </c>
      <c r="T99" s="88">
        <f>DSUM($B$60:$Y$78,T$60,$C$85:$D99)</f>
        <v>3.4748482153770803</v>
      </c>
      <c r="U99" s="88">
        <f>DSUM($B$60:$Y$78,U$60,$C$85:$D99)</f>
        <v>2.3062895813174742</v>
      </c>
      <c r="V99" s="88">
        <f>DSUM($B$60:$Y$78,V$60,$C$85:$D99)</f>
        <v>1.4611319710194397</v>
      </c>
      <c r="W99" s="88">
        <f>DSUM($B$60:$Y$78,W$60,$C$85:$D99)</f>
        <v>0.88544356712897088</v>
      </c>
      <c r="X99" s="88">
        <f>DSUM($B$60:$Y$78,X$60,$C$85:$D99)</f>
        <v>0.51422112523463359</v>
      </c>
      <c r="Y99" s="88">
        <f>DSUM($B$60:$Y$78,Y$60,$C$85:$D99)</f>
        <v>119.37282587197582</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2:79">
      <c r="B100" s="71" t="s">
        <v>234</v>
      </c>
      <c r="C100" s="99" t="s">
        <v>235</v>
      </c>
      <c r="D100" s="99" t="s">
        <v>236</v>
      </c>
      <c r="E100" s="88">
        <f>DSUM($B$60:$Y$78,E$60,$C$85:$D100)</f>
        <v>0.71877137749439846</v>
      </c>
      <c r="F100" s="88">
        <f>DSUM($B$60:$Y$78,F$60,$C$85:$D100)</f>
        <v>1.1247906718079712</v>
      </c>
      <c r="G100" s="88">
        <f>DSUM($B$60:$Y$78,G$60,$C$85:$D100)</f>
        <v>2.2395293997395957</v>
      </c>
      <c r="H100" s="88">
        <f>DSUM($B$60:$Y$78,H$60,$C$85:$D100)</f>
        <v>3.9016734074616854</v>
      </c>
      <c r="I100" s="88">
        <f>DSUM($B$60:$Y$78,I$60,$C$85:$D100)</f>
        <v>6.0421786855423907</v>
      </c>
      <c r="J100" s="88">
        <f>DSUM($B$60:$Y$78,J$60,$C$85:$D100)</f>
        <v>8.4213118506112039</v>
      </c>
      <c r="K100" s="88">
        <f>DSUM($B$60:$Y$78,K$60,$C$85:$D100)</f>
        <v>10.670242091780482</v>
      </c>
      <c r="L100" s="88">
        <f>DSUM($B$60:$Y$78,L$60,$C$85:$D100)</f>
        <v>12.393137127413491</v>
      </c>
      <c r="M100" s="88">
        <f>DSUM($B$60:$Y$78,M$60,$C$85:$D100)</f>
        <v>13.287006526463205</v>
      </c>
      <c r="N100" s="88">
        <f>DSUM($B$60:$Y$78,N$60,$C$85:$D100)</f>
        <v>13.227853396909259</v>
      </c>
      <c r="O100" s="88">
        <f>DSUM($B$60:$Y$78,O$60,$C$85:$D100)</f>
        <v>12.291061355217268</v>
      </c>
      <c r="P100" s="88">
        <f>DSUM($B$60:$Y$78,P$60,$C$85:$D100)</f>
        <v>10.706849209804181</v>
      </c>
      <c r="Q100" s="88">
        <f>DSUM($B$60:$Y$78,Q$60,$C$85:$D100)</f>
        <v>8.7782117840612557</v>
      </c>
      <c r="R100" s="88">
        <f>DSUM($B$60:$Y$78,R$60,$C$85:$D100)</f>
        <v>6.7971654858758788</v>
      </c>
      <c r="S100" s="88">
        <f>DSUM($B$60:$Y$78,S$60,$C$85:$D100)</f>
        <v>4.9861982138959844</v>
      </c>
      <c r="T100" s="88">
        <f>DSUM($B$60:$Y$78,T$60,$C$85:$D100)</f>
        <v>3.4748482153770803</v>
      </c>
      <c r="U100" s="88">
        <f>DSUM($B$60:$Y$78,U$60,$C$85:$D100)</f>
        <v>2.3062895813174742</v>
      </c>
      <c r="V100" s="88">
        <f>DSUM($B$60:$Y$78,V$60,$C$85:$D100)</f>
        <v>1.4611319710194397</v>
      </c>
      <c r="W100" s="88">
        <f>DSUM($B$60:$Y$78,W$60,$C$85:$D100)</f>
        <v>0.88544356712897088</v>
      </c>
      <c r="X100" s="88">
        <f>DSUM($B$60:$Y$78,X$60,$C$85:$D100)</f>
        <v>0.51422112523463359</v>
      </c>
      <c r="Y100" s="88">
        <f>DSUM($B$60:$Y$78,Y$60,$C$85:$D100)</f>
        <v>119.37282587197582</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2:79">
      <c r="B101" s="71" t="s">
        <v>237</v>
      </c>
      <c r="C101" s="99" t="s">
        <v>238</v>
      </c>
      <c r="D101" s="99" t="s">
        <v>239</v>
      </c>
      <c r="E101" s="88">
        <f>DSUM($B$60:$Y$78,E$60,$C$85:$D101)</f>
        <v>0.71877137749439846</v>
      </c>
      <c r="F101" s="88">
        <f>DSUM($B$60:$Y$78,F$60,$C$85:$D101)</f>
        <v>1.1247906718079712</v>
      </c>
      <c r="G101" s="88">
        <f>DSUM($B$60:$Y$78,G$60,$C$85:$D101)</f>
        <v>2.2395293997395957</v>
      </c>
      <c r="H101" s="88">
        <f>DSUM($B$60:$Y$78,H$60,$C$85:$D101)</f>
        <v>3.9016734074616854</v>
      </c>
      <c r="I101" s="88">
        <f>DSUM($B$60:$Y$78,I$60,$C$85:$D101)</f>
        <v>6.0421786855423907</v>
      </c>
      <c r="J101" s="88">
        <f>DSUM($B$60:$Y$78,J$60,$C$85:$D101)</f>
        <v>8.4213118506112039</v>
      </c>
      <c r="K101" s="88">
        <f>DSUM($B$60:$Y$78,K$60,$C$85:$D101)</f>
        <v>10.670242091780482</v>
      </c>
      <c r="L101" s="88">
        <f>DSUM($B$60:$Y$78,L$60,$C$85:$D101)</f>
        <v>12.393137127413491</v>
      </c>
      <c r="M101" s="88">
        <f>DSUM($B$60:$Y$78,M$60,$C$85:$D101)</f>
        <v>13.287006526463205</v>
      </c>
      <c r="N101" s="88">
        <f>DSUM($B$60:$Y$78,N$60,$C$85:$D101)</f>
        <v>13.227853396909259</v>
      </c>
      <c r="O101" s="88">
        <f>DSUM($B$60:$Y$78,O$60,$C$85:$D101)</f>
        <v>12.291061355217268</v>
      </c>
      <c r="P101" s="88">
        <f>DSUM($B$60:$Y$78,P$60,$C$85:$D101)</f>
        <v>10.706849209804181</v>
      </c>
      <c r="Q101" s="88">
        <f>DSUM($B$60:$Y$78,Q$60,$C$85:$D101)</f>
        <v>8.7782117840612557</v>
      </c>
      <c r="R101" s="88">
        <f>DSUM($B$60:$Y$78,R$60,$C$85:$D101)</f>
        <v>6.7971654858758788</v>
      </c>
      <c r="S101" s="88">
        <f>DSUM($B$60:$Y$78,S$60,$C$85:$D101)</f>
        <v>4.9861982138959844</v>
      </c>
      <c r="T101" s="88">
        <f>DSUM($B$60:$Y$78,T$60,$C$85:$D101)</f>
        <v>3.4748482153770803</v>
      </c>
      <c r="U101" s="88">
        <f>DSUM($B$60:$Y$78,U$60,$C$85:$D101)</f>
        <v>2.3062895813174742</v>
      </c>
      <c r="V101" s="88">
        <f>DSUM($B$60:$Y$78,V$60,$C$85:$D101)</f>
        <v>1.4611319710194397</v>
      </c>
      <c r="W101" s="88">
        <f>DSUM($B$60:$Y$78,W$60,$C$85:$D101)</f>
        <v>0.88544356712897088</v>
      </c>
      <c r="X101" s="88">
        <f>DSUM($B$60:$Y$78,X$60,$C$85:$D101)</f>
        <v>0.51422112523463359</v>
      </c>
      <c r="Y101" s="88">
        <f>DSUM($B$60:$Y$78,Y$60,$C$85:$D101)</f>
        <v>119.37282587197582</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2:79">
      <c r="B102" s="71" t="s">
        <v>240</v>
      </c>
      <c r="C102" s="99" t="s">
        <v>241</v>
      </c>
      <c r="D102" s="99" t="s">
        <v>242</v>
      </c>
      <c r="E102" s="88">
        <f>DSUM($B$60:$Y$78,E$60,$C$85:$D102)</f>
        <v>0.71877137749439846</v>
      </c>
      <c r="F102" s="88">
        <f>DSUM($B$60:$Y$78,F$60,$C$85:$D102)</f>
        <v>1.1247906718079712</v>
      </c>
      <c r="G102" s="88">
        <f>DSUM($B$60:$Y$78,G$60,$C$85:$D102)</f>
        <v>2.2395293997395957</v>
      </c>
      <c r="H102" s="88">
        <f>DSUM($B$60:$Y$78,H$60,$C$85:$D102)</f>
        <v>3.9016734074616854</v>
      </c>
      <c r="I102" s="88">
        <f>DSUM($B$60:$Y$78,I$60,$C$85:$D102)</f>
        <v>6.0421786855423907</v>
      </c>
      <c r="J102" s="88">
        <f>DSUM($B$60:$Y$78,J$60,$C$85:$D102)</f>
        <v>8.4213118506112039</v>
      </c>
      <c r="K102" s="88">
        <f>DSUM($B$60:$Y$78,K$60,$C$85:$D102)</f>
        <v>10.670242091780482</v>
      </c>
      <c r="L102" s="88">
        <f>DSUM($B$60:$Y$78,L$60,$C$85:$D102)</f>
        <v>12.393137127413491</v>
      </c>
      <c r="M102" s="88">
        <f>DSUM($B$60:$Y$78,M$60,$C$85:$D102)</f>
        <v>13.287006526463205</v>
      </c>
      <c r="N102" s="88">
        <f>DSUM($B$60:$Y$78,N$60,$C$85:$D102)</f>
        <v>13.227853396909259</v>
      </c>
      <c r="O102" s="88">
        <f>DSUM($B$60:$Y$78,O$60,$C$85:$D102)</f>
        <v>12.291061355217268</v>
      </c>
      <c r="P102" s="88">
        <f>DSUM($B$60:$Y$78,P$60,$C$85:$D102)</f>
        <v>10.706849209804181</v>
      </c>
      <c r="Q102" s="88">
        <f>DSUM($B$60:$Y$78,Q$60,$C$85:$D102)</f>
        <v>8.7782117840612557</v>
      </c>
      <c r="R102" s="88">
        <f>DSUM($B$60:$Y$78,R$60,$C$85:$D102)</f>
        <v>6.7971654858758788</v>
      </c>
      <c r="S102" s="88">
        <f>DSUM($B$60:$Y$78,S$60,$C$85:$D102)</f>
        <v>4.9861982138959844</v>
      </c>
      <c r="T102" s="88">
        <f>DSUM($B$60:$Y$78,T$60,$C$85:$D102)</f>
        <v>3.4748482153770803</v>
      </c>
      <c r="U102" s="88">
        <f>DSUM($B$60:$Y$78,U$60,$C$85:$D102)</f>
        <v>2.3062895813174742</v>
      </c>
      <c r="V102" s="88">
        <f>DSUM($B$60:$Y$78,V$60,$C$85:$D102)</f>
        <v>1.4611319710194397</v>
      </c>
      <c r="W102" s="88">
        <f>DSUM($B$60:$Y$78,W$60,$C$85:$D102)</f>
        <v>0.88544356712897088</v>
      </c>
      <c r="X102" s="88">
        <f>DSUM($B$60:$Y$78,X$60,$C$85:$D102)</f>
        <v>0.51422112523463359</v>
      </c>
      <c r="Y102" s="88">
        <f>DSUM($B$60:$Y$78,Y$60,$C$85:$D102)</f>
        <v>119.37282587197582</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2:79">
      <c r="B103" s="71" t="s">
        <v>243</v>
      </c>
      <c r="C103" s="99" t="s">
        <v>244</v>
      </c>
      <c r="D103" s="99" t="s">
        <v>245</v>
      </c>
      <c r="E103" s="88">
        <f>DSUM($B$60:$Y$78,E$60,$C$85:$D103)</f>
        <v>0.71877137749439846</v>
      </c>
      <c r="F103" s="88">
        <f>DSUM($B$60:$Y$78,F$60,$C$85:$D103)</f>
        <v>1.1247906718079712</v>
      </c>
      <c r="G103" s="88">
        <f>DSUM($B$60:$Y$78,G$60,$C$85:$D103)</f>
        <v>2.2395293997395957</v>
      </c>
      <c r="H103" s="88">
        <f>DSUM($B$60:$Y$78,H$60,$C$85:$D103)</f>
        <v>3.9016734074616854</v>
      </c>
      <c r="I103" s="88">
        <f>DSUM($B$60:$Y$78,I$60,$C$85:$D103)</f>
        <v>6.0421786855423907</v>
      </c>
      <c r="J103" s="88">
        <f>DSUM($B$60:$Y$78,J$60,$C$85:$D103)</f>
        <v>8.4213118506112039</v>
      </c>
      <c r="K103" s="88">
        <f>DSUM($B$60:$Y$78,K$60,$C$85:$D103)</f>
        <v>10.670242091780482</v>
      </c>
      <c r="L103" s="88">
        <f>DSUM($B$60:$Y$78,L$60,$C$85:$D103)</f>
        <v>12.393137127413491</v>
      </c>
      <c r="M103" s="88">
        <f>DSUM($B$60:$Y$78,M$60,$C$85:$D103)</f>
        <v>13.287006526463205</v>
      </c>
      <c r="N103" s="88">
        <f>DSUM($B$60:$Y$78,N$60,$C$85:$D103)</f>
        <v>13.227853396909259</v>
      </c>
      <c r="O103" s="88">
        <f>DSUM($B$60:$Y$78,O$60,$C$85:$D103)</f>
        <v>12.291061355217268</v>
      </c>
      <c r="P103" s="88">
        <f>DSUM($B$60:$Y$78,P$60,$C$85:$D103)</f>
        <v>10.706849209804181</v>
      </c>
      <c r="Q103" s="88">
        <f>DSUM($B$60:$Y$78,Q$60,$C$85:$D103)</f>
        <v>8.7782117840612557</v>
      </c>
      <c r="R103" s="88">
        <f>DSUM($B$60:$Y$78,R$60,$C$85:$D103)</f>
        <v>6.7971654858758788</v>
      </c>
      <c r="S103" s="88">
        <f>DSUM($B$60:$Y$78,S$60,$C$85:$D103)</f>
        <v>4.9861982138959844</v>
      </c>
      <c r="T103" s="88">
        <f>DSUM($B$60:$Y$78,T$60,$C$85:$D103)</f>
        <v>3.4748482153770803</v>
      </c>
      <c r="U103" s="88">
        <f>DSUM($B$60:$Y$78,U$60,$C$85:$D103)</f>
        <v>2.3062895813174742</v>
      </c>
      <c r="V103" s="88">
        <f>DSUM($B$60:$Y$78,V$60,$C$85:$D103)</f>
        <v>1.4611319710194397</v>
      </c>
      <c r="W103" s="88">
        <f>DSUM($B$60:$Y$78,W$60,$C$85:$D103)</f>
        <v>0.88544356712897088</v>
      </c>
      <c r="X103" s="88">
        <f>DSUM($B$60:$Y$78,X$60,$C$85:$D103)</f>
        <v>0.51422112523463359</v>
      </c>
      <c r="Y103" s="88">
        <f>DSUM($B$60:$Y$78,Y$60,$C$85:$D103)</f>
        <v>119.37282587197582</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2:79">
      <c r="B104" s="71" t="s">
        <v>246</v>
      </c>
      <c r="C104" s="99" t="s">
        <v>247</v>
      </c>
      <c r="D104" s="99" t="s">
        <v>248</v>
      </c>
      <c r="E104" s="88">
        <f>DSUM($B$60:$Y$78,E$60,$C$85:$D104)</f>
        <v>0.71877137749439846</v>
      </c>
      <c r="F104" s="88">
        <f>DSUM($B$60:$Y$78,F$60,$C$85:$D104)</f>
        <v>1.1247906718079712</v>
      </c>
      <c r="G104" s="88">
        <f>DSUM($B$60:$Y$78,G$60,$C$85:$D104)</f>
        <v>2.2395293997395957</v>
      </c>
      <c r="H104" s="88">
        <f>DSUM($B$60:$Y$78,H$60,$C$85:$D104)</f>
        <v>3.9016734074616854</v>
      </c>
      <c r="I104" s="88">
        <f>DSUM($B$60:$Y$78,I$60,$C$85:$D104)</f>
        <v>6.0421786855423907</v>
      </c>
      <c r="J104" s="88">
        <f>DSUM($B$60:$Y$78,J$60,$C$85:$D104)</f>
        <v>8.4213118506112039</v>
      </c>
      <c r="K104" s="88">
        <f>DSUM($B$60:$Y$78,K$60,$C$85:$D104)</f>
        <v>10.670242091780482</v>
      </c>
      <c r="L104" s="88">
        <f>DSUM($B$60:$Y$78,L$60,$C$85:$D104)</f>
        <v>12.393137127413491</v>
      </c>
      <c r="M104" s="88">
        <f>DSUM($B$60:$Y$78,M$60,$C$85:$D104)</f>
        <v>13.287006526463205</v>
      </c>
      <c r="N104" s="88">
        <f>DSUM($B$60:$Y$78,N$60,$C$85:$D104)</f>
        <v>13.227853396909259</v>
      </c>
      <c r="O104" s="88">
        <f>DSUM($B$60:$Y$78,O$60,$C$85:$D104)</f>
        <v>12.291061355217268</v>
      </c>
      <c r="P104" s="88">
        <f>DSUM($B$60:$Y$78,P$60,$C$85:$D104)</f>
        <v>10.706849209804181</v>
      </c>
      <c r="Q104" s="88">
        <f>DSUM($B$60:$Y$78,Q$60,$C$85:$D104)</f>
        <v>8.7782117840612557</v>
      </c>
      <c r="R104" s="88">
        <f>DSUM($B$60:$Y$78,R$60,$C$85:$D104)</f>
        <v>6.7971654858758788</v>
      </c>
      <c r="S104" s="88">
        <f>DSUM($B$60:$Y$78,S$60,$C$85:$D104)</f>
        <v>4.9861982138959844</v>
      </c>
      <c r="T104" s="88">
        <f>DSUM($B$60:$Y$78,T$60,$C$85:$D104)</f>
        <v>3.4748482153770803</v>
      </c>
      <c r="U104" s="88">
        <f>DSUM($B$60:$Y$78,U$60,$C$85:$D104)</f>
        <v>2.3062895813174742</v>
      </c>
      <c r="V104" s="88">
        <f>DSUM($B$60:$Y$78,V$60,$C$85:$D104)</f>
        <v>1.4611319710194397</v>
      </c>
      <c r="W104" s="88">
        <f>DSUM($B$60:$Y$78,W$60,$C$85:$D104)</f>
        <v>0.88544356712897088</v>
      </c>
      <c r="X104" s="88">
        <f>DSUM($B$60:$Y$78,X$60,$C$85:$D104)</f>
        <v>0.51422112523463359</v>
      </c>
      <c r="Y104" s="88">
        <f>DSUM($B$60:$Y$78,Y$60,$C$85:$D104)</f>
        <v>119.37282587197582</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2:79">
      <c r="B105" s="71" t="s">
        <v>249</v>
      </c>
      <c r="C105" s="99" t="s">
        <v>250</v>
      </c>
      <c r="D105" s="99" t="s">
        <v>251</v>
      </c>
      <c r="E105" s="88">
        <f>DSUM($B$60:$Y$78,E$60,$C$85:$D105)</f>
        <v>0.71877137749439846</v>
      </c>
      <c r="F105" s="88">
        <f>DSUM($B$60:$Y$78,F$60,$C$85:$D105)</f>
        <v>1.1247906718079712</v>
      </c>
      <c r="G105" s="88">
        <f>DSUM($B$60:$Y$78,G$60,$C$85:$D105)</f>
        <v>2.2395293997395957</v>
      </c>
      <c r="H105" s="88">
        <f>DSUM($B$60:$Y$78,H$60,$C$85:$D105)</f>
        <v>3.9016734074616854</v>
      </c>
      <c r="I105" s="88">
        <f>DSUM($B$60:$Y$78,I$60,$C$85:$D105)</f>
        <v>6.0421786855423907</v>
      </c>
      <c r="J105" s="88">
        <f>DSUM($B$60:$Y$78,J$60,$C$85:$D105)</f>
        <v>8.4213118506112039</v>
      </c>
      <c r="K105" s="88">
        <f>DSUM($B$60:$Y$78,K$60,$C$85:$D105)</f>
        <v>10.670242091780482</v>
      </c>
      <c r="L105" s="88">
        <f>DSUM($B$60:$Y$78,L$60,$C$85:$D105)</f>
        <v>12.393137127413491</v>
      </c>
      <c r="M105" s="88">
        <f>DSUM($B$60:$Y$78,M$60,$C$85:$D105)</f>
        <v>13.287006526463205</v>
      </c>
      <c r="N105" s="88">
        <f>DSUM($B$60:$Y$78,N$60,$C$85:$D105)</f>
        <v>13.227853396909259</v>
      </c>
      <c r="O105" s="88">
        <f>DSUM($B$60:$Y$78,O$60,$C$85:$D105)</f>
        <v>12.291061355217268</v>
      </c>
      <c r="P105" s="88">
        <f>DSUM($B$60:$Y$78,P$60,$C$85:$D105)</f>
        <v>10.706849209804181</v>
      </c>
      <c r="Q105" s="88">
        <f>DSUM($B$60:$Y$78,Q$60,$C$85:$D105)</f>
        <v>8.7782117840612557</v>
      </c>
      <c r="R105" s="88">
        <f>DSUM($B$60:$Y$78,R$60,$C$85:$D105)</f>
        <v>6.7971654858758788</v>
      </c>
      <c r="S105" s="88">
        <f>DSUM($B$60:$Y$78,S$60,$C$85:$D105)</f>
        <v>4.9861982138959844</v>
      </c>
      <c r="T105" s="88">
        <f>DSUM($B$60:$Y$78,T$60,$C$85:$D105)</f>
        <v>3.4748482153770803</v>
      </c>
      <c r="U105" s="88">
        <f>DSUM($B$60:$Y$78,U$60,$C$85:$D105)</f>
        <v>2.3062895813174742</v>
      </c>
      <c r="V105" s="88">
        <f>DSUM($B$60:$Y$78,V$60,$C$85:$D105)</f>
        <v>1.4611319710194397</v>
      </c>
      <c r="W105" s="88">
        <f>DSUM($B$60:$Y$78,W$60,$C$85:$D105)</f>
        <v>0.88544356712897088</v>
      </c>
      <c r="X105" s="88">
        <f>DSUM($B$60:$Y$78,X$60,$C$85:$D105)</f>
        <v>0.51422112523463359</v>
      </c>
      <c r="Y105" s="88">
        <f>DSUM($B$60:$Y$78,Y$60,$C$85:$D105)</f>
        <v>119.37282587197582</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2:79">
      <c r="B106" s="71" t="s">
        <v>252</v>
      </c>
      <c r="C106" s="99" t="s">
        <v>253</v>
      </c>
      <c r="D106" s="99" t="s">
        <v>254</v>
      </c>
      <c r="E106" s="88">
        <f>DSUM($B$60:$Y$78,E$60,$C$85:$D106)</f>
        <v>0.71877137749439846</v>
      </c>
      <c r="F106" s="88">
        <f>DSUM($B$60:$Y$78,F$60,$C$85:$D106)</f>
        <v>1.1247906718079712</v>
      </c>
      <c r="G106" s="88">
        <f>DSUM($B$60:$Y$78,G$60,$C$85:$D106)</f>
        <v>2.2395293997395957</v>
      </c>
      <c r="H106" s="88">
        <f>DSUM($B$60:$Y$78,H$60,$C$85:$D106)</f>
        <v>3.9016734074616854</v>
      </c>
      <c r="I106" s="88">
        <f>DSUM($B$60:$Y$78,I$60,$C$85:$D106)</f>
        <v>6.0421786855423907</v>
      </c>
      <c r="J106" s="88">
        <f>DSUM($B$60:$Y$78,J$60,$C$85:$D106)</f>
        <v>8.4213118506112039</v>
      </c>
      <c r="K106" s="88">
        <f>DSUM($B$60:$Y$78,K$60,$C$85:$D106)</f>
        <v>10.670242091780482</v>
      </c>
      <c r="L106" s="88">
        <f>DSUM($B$60:$Y$78,L$60,$C$85:$D106)</f>
        <v>12.393137127413491</v>
      </c>
      <c r="M106" s="88">
        <f>DSUM($B$60:$Y$78,M$60,$C$85:$D106)</f>
        <v>13.287006526463205</v>
      </c>
      <c r="N106" s="88">
        <f>DSUM($B$60:$Y$78,N$60,$C$85:$D106)</f>
        <v>13.227853396909259</v>
      </c>
      <c r="O106" s="88">
        <f>DSUM($B$60:$Y$78,O$60,$C$85:$D106)</f>
        <v>12.291061355217268</v>
      </c>
      <c r="P106" s="88">
        <f>DSUM($B$60:$Y$78,P$60,$C$85:$D106)</f>
        <v>10.706849209804181</v>
      </c>
      <c r="Q106" s="88">
        <f>DSUM($B$60:$Y$78,Q$60,$C$85:$D106)</f>
        <v>8.7782117840612557</v>
      </c>
      <c r="R106" s="88">
        <f>DSUM($B$60:$Y$78,R$60,$C$85:$D106)</f>
        <v>6.7971654858758788</v>
      </c>
      <c r="S106" s="88">
        <f>DSUM($B$60:$Y$78,S$60,$C$85:$D106)</f>
        <v>4.9861982138959844</v>
      </c>
      <c r="T106" s="88">
        <f>DSUM($B$60:$Y$78,T$60,$C$85:$D106)</f>
        <v>3.4748482153770803</v>
      </c>
      <c r="U106" s="88">
        <f>DSUM($B$60:$Y$78,U$60,$C$85:$D106)</f>
        <v>2.3062895813174742</v>
      </c>
      <c r="V106" s="88">
        <f>DSUM($B$60:$Y$78,V$60,$C$85:$D106)</f>
        <v>1.4611319710194397</v>
      </c>
      <c r="W106" s="88">
        <f>DSUM($B$60:$Y$78,W$60,$C$85:$D106)</f>
        <v>0.88544356712897088</v>
      </c>
      <c r="X106" s="88">
        <f>DSUM($B$60:$Y$78,X$60,$C$85:$D106)</f>
        <v>0.51422112523463359</v>
      </c>
      <c r="Y106" s="88">
        <f>DSUM($B$60:$Y$78,Y$60,$C$85:$D106)</f>
        <v>119.37282587197582</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2:79">
      <c r="B107" s="71" t="s">
        <v>255</v>
      </c>
      <c r="C107" s="99" t="s">
        <v>256</v>
      </c>
      <c r="D107" s="99" t="s">
        <v>257</v>
      </c>
      <c r="E107" s="88">
        <f>DSUM($B$60:$Y$78,E$60,$C$85:$D107)</f>
        <v>0.71877137749439846</v>
      </c>
      <c r="F107" s="88">
        <f>DSUM($B$60:$Y$78,F$60,$C$85:$D107)</f>
        <v>1.1247906718079712</v>
      </c>
      <c r="G107" s="88">
        <f>DSUM($B$60:$Y$78,G$60,$C$85:$D107)</f>
        <v>2.2395293997395957</v>
      </c>
      <c r="H107" s="88">
        <f>DSUM($B$60:$Y$78,H$60,$C$85:$D107)</f>
        <v>3.9016734074616854</v>
      </c>
      <c r="I107" s="88">
        <f>DSUM($B$60:$Y$78,I$60,$C$85:$D107)</f>
        <v>6.0421786855423907</v>
      </c>
      <c r="J107" s="88">
        <f>DSUM($B$60:$Y$78,J$60,$C$85:$D107)</f>
        <v>8.4213118506112039</v>
      </c>
      <c r="K107" s="88">
        <f>DSUM($B$60:$Y$78,K$60,$C$85:$D107)</f>
        <v>10.670242091780482</v>
      </c>
      <c r="L107" s="88">
        <f>DSUM($B$60:$Y$78,L$60,$C$85:$D107)</f>
        <v>12.393137127413491</v>
      </c>
      <c r="M107" s="88">
        <f>DSUM($B$60:$Y$78,M$60,$C$85:$D107)</f>
        <v>13.287006526463205</v>
      </c>
      <c r="N107" s="88">
        <f>DSUM($B$60:$Y$78,N$60,$C$85:$D107)</f>
        <v>13.227853396909259</v>
      </c>
      <c r="O107" s="88">
        <f>DSUM($B$60:$Y$78,O$60,$C$85:$D107)</f>
        <v>12.291061355217268</v>
      </c>
      <c r="P107" s="88">
        <f>DSUM($B$60:$Y$78,P$60,$C$85:$D107)</f>
        <v>10.706849209804181</v>
      </c>
      <c r="Q107" s="88">
        <f>DSUM($B$60:$Y$78,Q$60,$C$85:$D107)</f>
        <v>8.7782117840612557</v>
      </c>
      <c r="R107" s="88">
        <f>DSUM($B$60:$Y$78,R$60,$C$85:$D107)</f>
        <v>6.7971654858758788</v>
      </c>
      <c r="S107" s="88">
        <f>DSUM($B$60:$Y$78,S$60,$C$85:$D107)</f>
        <v>4.9861982138959844</v>
      </c>
      <c r="T107" s="88">
        <f>DSUM($B$60:$Y$78,T$60,$C$85:$D107)</f>
        <v>3.4748482153770803</v>
      </c>
      <c r="U107" s="88">
        <f>DSUM($B$60:$Y$78,U$60,$C$85:$D107)</f>
        <v>2.3062895813174742</v>
      </c>
      <c r="V107" s="88">
        <f>DSUM($B$60:$Y$78,V$60,$C$85:$D107)</f>
        <v>1.4611319710194397</v>
      </c>
      <c r="W107" s="88">
        <f>DSUM($B$60:$Y$78,W$60,$C$85:$D107)</f>
        <v>0.88544356712897088</v>
      </c>
      <c r="X107" s="88">
        <f>DSUM($B$60:$Y$78,X$60,$C$85:$D107)</f>
        <v>0.51422112523463359</v>
      </c>
      <c r="Y107" s="88">
        <f>DSUM($B$60:$Y$78,Y$60,$C$85:$D107)</f>
        <v>119.37282587197582</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2:79">
      <c r="B108" s="71" t="s">
        <v>258</v>
      </c>
      <c r="C108" s="99" t="s">
        <v>259</v>
      </c>
      <c r="D108" s="99" t="s">
        <v>260</v>
      </c>
      <c r="E108" s="88">
        <f>DSUM($B$60:$Y$78,E$60,$C$85:$D108)</f>
        <v>0.71877137749439846</v>
      </c>
      <c r="F108" s="88">
        <f>DSUM($B$60:$Y$78,F$60,$C$85:$D108)</f>
        <v>1.1247906718079712</v>
      </c>
      <c r="G108" s="88">
        <f>DSUM($B$60:$Y$78,G$60,$C$85:$D108)</f>
        <v>2.2395293997395957</v>
      </c>
      <c r="H108" s="88">
        <f>DSUM($B$60:$Y$78,H$60,$C$85:$D108)</f>
        <v>3.9016734074616854</v>
      </c>
      <c r="I108" s="88">
        <f>DSUM($B$60:$Y$78,I$60,$C$85:$D108)</f>
        <v>6.0421786855423907</v>
      </c>
      <c r="J108" s="88">
        <f>DSUM($B$60:$Y$78,J$60,$C$85:$D108)</f>
        <v>8.4213118506112039</v>
      </c>
      <c r="K108" s="88">
        <f>DSUM($B$60:$Y$78,K$60,$C$85:$D108)</f>
        <v>10.670242091780482</v>
      </c>
      <c r="L108" s="88">
        <f>DSUM($B$60:$Y$78,L$60,$C$85:$D108)</f>
        <v>12.393137127413491</v>
      </c>
      <c r="M108" s="88">
        <f>DSUM($B$60:$Y$78,M$60,$C$85:$D108)</f>
        <v>13.287006526463205</v>
      </c>
      <c r="N108" s="88">
        <f>DSUM($B$60:$Y$78,N$60,$C$85:$D108)</f>
        <v>13.227853396909259</v>
      </c>
      <c r="O108" s="88">
        <f>DSUM($B$60:$Y$78,O$60,$C$85:$D108)</f>
        <v>12.291061355217268</v>
      </c>
      <c r="P108" s="88">
        <f>DSUM($B$60:$Y$78,P$60,$C$85:$D108)</f>
        <v>10.706849209804181</v>
      </c>
      <c r="Q108" s="88">
        <f>DSUM($B$60:$Y$78,Q$60,$C$85:$D108)</f>
        <v>8.7782117840612557</v>
      </c>
      <c r="R108" s="88">
        <f>DSUM($B$60:$Y$78,R$60,$C$85:$D108)</f>
        <v>6.7971654858758788</v>
      </c>
      <c r="S108" s="88">
        <f>DSUM($B$60:$Y$78,S$60,$C$85:$D108)</f>
        <v>4.9861982138959844</v>
      </c>
      <c r="T108" s="88">
        <f>DSUM($B$60:$Y$78,T$60,$C$85:$D108)</f>
        <v>3.4748482153770803</v>
      </c>
      <c r="U108" s="88">
        <f>DSUM($B$60:$Y$78,U$60,$C$85:$D108)</f>
        <v>2.3062895813174742</v>
      </c>
      <c r="V108" s="88">
        <f>DSUM($B$60:$Y$78,V$60,$C$85:$D108)</f>
        <v>1.4611319710194397</v>
      </c>
      <c r="W108" s="88">
        <f>DSUM($B$60:$Y$78,W$60,$C$85:$D108)</f>
        <v>0.88544356712897088</v>
      </c>
      <c r="X108" s="88">
        <f>DSUM($B$60:$Y$78,X$60,$C$85:$D108)</f>
        <v>0.51422112523463359</v>
      </c>
      <c r="Y108" s="88">
        <f>DSUM($B$60:$Y$78,Y$60,$C$85:$D108)</f>
        <v>119.37282587197582</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c r="B109" s="71" t="s">
        <v>261</v>
      </c>
      <c r="C109" s="99" t="s">
        <v>262</v>
      </c>
      <c r="D109" s="99" t="s">
        <v>263</v>
      </c>
      <c r="E109" s="88">
        <f>DSUM($B$60:$Y$78,E$60,$C$85:$D109)</f>
        <v>0.71877137749439846</v>
      </c>
      <c r="F109" s="88">
        <f>DSUM($B$60:$Y$78,F$60,$C$85:$D109)</f>
        <v>1.1247906718079712</v>
      </c>
      <c r="G109" s="88">
        <f>DSUM($B$60:$Y$78,G$60,$C$85:$D109)</f>
        <v>2.2395293997395957</v>
      </c>
      <c r="H109" s="88">
        <f>DSUM($B$60:$Y$78,H$60,$C$85:$D109)</f>
        <v>3.9016734074616854</v>
      </c>
      <c r="I109" s="88">
        <f>DSUM($B$60:$Y$78,I$60,$C$85:$D109)</f>
        <v>6.0421786855423907</v>
      </c>
      <c r="J109" s="88">
        <f>DSUM($B$60:$Y$78,J$60,$C$85:$D109)</f>
        <v>8.4213118506112039</v>
      </c>
      <c r="K109" s="88">
        <f>DSUM($B$60:$Y$78,K$60,$C$85:$D109)</f>
        <v>10.670242091780482</v>
      </c>
      <c r="L109" s="88">
        <f>DSUM($B$60:$Y$78,L$60,$C$85:$D109)</f>
        <v>12.393137127413491</v>
      </c>
      <c r="M109" s="88">
        <f>DSUM($B$60:$Y$78,M$60,$C$85:$D109)</f>
        <v>13.287006526463205</v>
      </c>
      <c r="N109" s="88">
        <f>DSUM($B$60:$Y$78,N$60,$C$85:$D109)</f>
        <v>13.227853396909259</v>
      </c>
      <c r="O109" s="88">
        <f>DSUM($B$60:$Y$78,O$60,$C$85:$D109)</f>
        <v>12.291061355217268</v>
      </c>
      <c r="P109" s="88">
        <f>DSUM($B$60:$Y$78,P$60,$C$85:$D109)</f>
        <v>10.706849209804181</v>
      </c>
      <c r="Q109" s="88">
        <f>DSUM($B$60:$Y$78,Q$60,$C$85:$D109)</f>
        <v>8.7782117840612557</v>
      </c>
      <c r="R109" s="88">
        <f>DSUM($B$60:$Y$78,R$60,$C$85:$D109)</f>
        <v>6.7971654858758788</v>
      </c>
      <c r="S109" s="88">
        <f>DSUM($B$60:$Y$78,S$60,$C$85:$D109)</f>
        <v>4.9861982138959844</v>
      </c>
      <c r="T109" s="88">
        <f>DSUM($B$60:$Y$78,T$60,$C$85:$D109)</f>
        <v>3.4748482153770803</v>
      </c>
      <c r="U109" s="88">
        <f>DSUM($B$60:$Y$78,U$60,$C$85:$D109)</f>
        <v>2.3062895813174742</v>
      </c>
      <c r="V109" s="88">
        <f>DSUM($B$60:$Y$78,V$60,$C$85:$D109)</f>
        <v>1.4611319710194397</v>
      </c>
      <c r="W109" s="88">
        <f>DSUM($B$60:$Y$78,W$60,$C$85:$D109)</f>
        <v>0.88544356712897088</v>
      </c>
      <c r="X109" s="88">
        <f>DSUM($B$60:$Y$78,X$60,$C$85:$D109)</f>
        <v>0.51422112523463359</v>
      </c>
      <c r="Y109" s="88">
        <f>DSUM($B$60:$Y$78,Y$60,$C$85:$D109)</f>
        <v>119.37282587197582</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2:79">
      <c r="B110" s="71" t="s">
        <v>264</v>
      </c>
      <c r="C110" s="99" t="s">
        <v>265</v>
      </c>
      <c r="D110" s="99" t="s">
        <v>266</v>
      </c>
      <c r="E110" s="88">
        <f>DSUM($B$60:$Y$78,E$60,$C$85:$D110)</f>
        <v>0.71877137749439846</v>
      </c>
      <c r="F110" s="88">
        <f>DSUM($B$60:$Y$78,F$60,$C$85:$D110)</f>
        <v>1.1247906718079712</v>
      </c>
      <c r="G110" s="88">
        <f>DSUM($B$60:$Y$78,G$60,$C$85:$D110)</f>
        <v>2.2395293997395957</v>
      </c>
      <c r="H110" s="88">
        <f>DSUM($B$60:$Y$78,H$60,$C$85:$D110)</f>
        <v>3.9016734074616854</v>
      </c>
      <c r="I110" s="88">
        <f>DSUM($B$60:$Y$78,I$60,$C$85:$D110)</f>
        <v>6.0421786855423907</v>
      </c>
      <c r="J110" s="88">
        <f>DSUM($B$60:$Y$78,J$60,$C$85:$D110)</f>
        <v>8.4213118506112039</v>
      </c>
      <c r="K110" s="88">
        <f>DSUM($B$60:$Y$78,K$60,$C$85:$D110)</f>
        <v>10.670242091780482</v>
      </c>
      <c r="L110" s="88">
        <f>DSUM($B$60:$Y$78,L$60,$C$85:$D110)</f>
        <v>12.393137127413491</v>
      </c>
      <c r="M110" s="88">
        <f>DSUM($B$60:$Y$78,M$60,$C$85:$D110)</f>
        <v>13.287006526463205</v>
      </c>
      <c r="N110" s="88">
        <f>DSUM($B$60:$Y$78,N$60,$C$85:$D110)</f>
        <v>13.227853396909259</v>
      </c>
      <c r="O110" s="88">
        <f>DSUM($B$60:$Y$78,O$60,$C$85:$D110)</f>
        <v>12.291061355217268</v>
      </c>
      <c r="P110" s="88">
        <f>DSUM($B$60:$Y$78,P$60,$C$85:$D110)</f>
        <v>10.706849209804181</v>
      </c>
      <c r="Q110" s="88">
        <f>DSUM($B$60:$Y$78,Q$60,$C$85:$D110)</f>
        <v>8.7782117840612557</v>
      </c>
      <c r="R110" s="88">
        <f>DSUM($B$60:$Y$78,R$60,$C$85:$D110)</f>
        <v>6.7971654858758788</v>
      </c>
      <c r="S110" s="88">
        <f>DSUM($B$60:$Y$78,S$60,$C$85:$D110)</f>
        <v>4.9861982138959844</v>
      </c>
      <c r="T110" s="88">
        <f>DSUM($B$60:$Y$78,T$60,$C$85:$D110)</f>
        <v>3.4748482153770803</v>
      </c>
      <c r="U110" s="88">
        <f>DSUM($B$60:$Y$78,U$60,$C$85:$D110)</f>
        <v>2.3062895813174742</v>
      </c>
      <c r="V110" s="88">
        <f>DSUM($B$60:$Y$78,V$60,$C$85:$D110)</f>
        <v>1.4611319710194397</v>
      </c>
      <c r="W110" s="88">
        <f>DSUM($B$60:$Y$78,W$60,$C$85:$D110)</f>
        <v>0.88544356712897088</v>
      </c>
      <c r="X110" s="88">
        <f>DSUM($B$60:$Y$78,X$60,$C$85:$D110)</f>
        <v>0.51422112523463359</v>
      </c>
      <c r="Y110" s="88">
        <f>DSUM($B$60:$Y$78,Y$60,$C$85:$D110)</f>
        <v>119.37282587197582</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2:79">
      <c r="B111" s="71" t="s">
        <v>267</v>
      </c>
      <c r="C111" s="99" t="s">
        <v>268</v>
      </c>
      <c r="D111" s="99" t="s">
        <v>269</v>
      </c>
      <c r="E111" s="88">
        <f>DSUM($B$60:$Y$78,E$60,$C$85:$D111)</f>
        <v>0.71877137749439846</v>
      </c>
      <c r="F111" s="88">
        <f>DSUM($B$60:$Y$78,F$60,$C$85:$D111)</f>
        <v>1.1247906718079712</v>
      </c>
      <c r="G111" s="88">
        <f>DSUM($B$60:$Y$78,G$60,$C$85:$D111)</f>
        <v>2.2395293997395957</v>
      </c>
      <c r="H111" s="88">
        <f>DSUM($B$60:$Y$78,H$60,$C$85:$D111)</f>
        <v>3.9016734074616854</v>
      </c>
      <c r="I111" s="88">
        <f>DSUM($B$60:$Y$78,I$60,$C$85:$D111)</f>
        <v>6.0421786855423907</v>
      </c>
      <c r="J111" s="88">
        <f>DSUM($B$60:$Y$78,J$60,$C$85:$D111)</f>
        <v>8.4213118506112039</v>
      </c>
      <c r="K111" s="88">
        <f>DSUM($B$60:$Y$78,K$60,$C$85:$D111)</f>
        <v>10.670242091780482</v>
      </c>
      <c r="L111" s="88">
        <f>DSUM($B$60:$Y$78,L$60,$C$85:$D111)</f>
        <v>12.393137127413491</v>
      </c>
      <c r="M111" s="88">
        <f>DSUM($B$60:$Y$78,M$60,$C$85:$D111)</f>
        <v>13.287006526463205</v>
      </c>
      <c r="N111" s="88">
        <f>DSUM($B$60:$Y$78,N$60,$C$85:$D111)</f>
        <v>13.227853396909259</v>
      </c>
      <c r="O111" s="88">
        <f>DSUM($B$60:$Y$78,O$60,$C$85:$D111)</f>
        <v>12.291061355217268</v>
      </c>
      <c r="P111" s="88">
        <f>DSUM($B$60:$Y$78,P$60,$C$85:$D111)</f>
        <v>10.706849209804181</v>
      </c>
      <c r="Q111" s="88">
        <f>DSUM($B$60:$Y$78,Q$60,$C$85:$D111)</f>
        <v>8.7782117840612557</v>
      </c>
      <c r="R111" s="88">
        <f>DSUM($B$60:$Y$78,R$60,$C$85:$D111)</f>
        <v>6.7971654858758788</v>
      </c>
      <c r="S111" s="88">
        <f>DSUM($B$60:$Y$78,S$60,$C$85:$D111)</f>
        <v>4.9861982138959844</v>
      </c>
      <c r="T111" s="88">
        <f>DSUM($B$60:$Y$78,T$60,$C$85:$D111)</f>
        <v>3.4748482153770803</v>
      </c>
      <c r="U111" s="88">
        <f>DSUM($B$60:$Y$78,U$60,$C$85:$D111)</f>
        <v>2.3062895813174742</v>
      </c>
      <c r="V111" s="88">
        <f>DSUM($B$60:$Y$78,V$60,$C$85:$D111)</f>
        <v>1.4611319710194397</v>
      </c>
      <c r="W111" s="88">
        <f>DSUM($B$60:$Y$78,W$60,$C$85:$D111)</f>
        <v>0.88544356712897088</v>
      </c>
      <c r="X111" s="88">
        <f>DSUM($B$60:$Y$78,X$60,$C$85:$D111)</f>
        <v>0.51422112523463359</v>
      </c>
      <c r="Y111" s="88">
        <f>DSUM($B$60:$Y$78,Y$60,$C$85:$D111)</f>
        <v>119.37282587197582</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2:79">
      <c r="B112" s="71" t="s">
        <v>270</v>
      </c>
      <c r="C112" s="99" t="s">
        <v>271</v>
      </c>
      <c r="D112" s="99" t="s">
        <v>272</v>
      </c>
      <c r="E112" s="88">
        <f>DSUM($B$60:$Y$78,E$60,$C$85:$D112)</f>
        <v>0.71877137749439846</v>
      </c>
      <c r="F112" s="88">
        <f>DSUM($B$60:$Y$78,F$60,$C$85:$D112)</f>
        <v>1.1247906718079712</v>
      </c>
      <c r="G112" s="88">
        <f>DSUM($B$60:$Y$78,G$60,$C$85:$D112)</f>
        <v>2.2395293997395957</v>
      </c>
      <c r="H112" s="88">
        <f>DSUM($B$60:$Y$78,H$60,$C$85:$D112)</f>
        <v>3.9016734074616854</v>
      </c>
      <c r="I112" s="88">
        <f>DSUM($B$60:$Y$78,I$60,$C$85:$D112)</f>
        <v>6.0421786855423907</v>
      </c>
      <c r="J112" s="88">
        <f>DSUM($B$60:$Y$78,J$60,$C$85:$D112)</f>
        <v>8.4213118506112039</v>
      </c>
      <c r="K112" s="88">
        <f>DSUM($B$60:$Y$78,K$60,$C$85:$D112)</f>
        <v>10.670242091780482</v>
      </c>
      <c r="L112" s="88">
        <f>DSUM($B$60:$Y$78,L$60,$C$85:$D112)</f>
        <v>12.393137127413491</v>
      </c>
      <c r="M112" s="88">
        <f>DSUM($B$60:$Y$78,M$60,$C$85:$D112)</f>
        <v>13.287006526463205</v>
      </c>
      <c r="N112" s="88">
        <f>DSUM($B$60:$Y$78,N$60,$C$85:$D112)</f>
        <v>13.227853396909259</v>
      </c>
      <c r="O112" s="88">
        <f>DSUM($B$60:$Y$78,O$60,$C$85:$D112)</f>
        <v>12.291061355217268</v>
      </c>
      <c r="P112" s="88">
        <f>DSUM($B$60:$Y$78,P$60,$C$85:$D112)</f>
        <v>10.706849209804181</v>
      </c>
      <c r="Q112" s="88">
        <f>DSUM($B$60:$Y$78,Q$60,$C$85:$D112)</f>
        <v>8.7782117840612557</v>
      </c>
      <c r="R112" s="88">
        <f>DSUM($B$60:$Y$78,R$60,$C$85:$D112)</f>
        <v>6.7971654858758788</v>
      </c>
      <c r="S112" s="88">
        <f>DSUM($B$60:$Y$78,S$60,$C$85:$D112)</f>
        <v>4.9861982138959844</v>
      </c>
      <c r="T112" s="88">
        <f>DSUM($B$60:$Y$78,T$60,$C$85:$D112)</f>
        <v>3.4748482153770803</v>
      </c>
      <c r="U112" s="88">
        <f>DSUM($B$60:$Y$78,U$60,$C$85:$D112)</f>
        <v>2.3062895813174742</v>
      </c>
      <c r="V112" s="88">
        <f>DSUM($B$60:$Y$78,V$60,$C$85:$D112)</f>
        <v>1.4611319710194397</v>
      </c>
      <c r="W112" s="88">
        <f>DSUM($B$60:$Y$78,W$60,$C$85:$D112)</f>
        <v>0.88544356712897088</v>
      </c>
      <c r="X112" s="88">
        <f>DSUM($B$60:$Y$78,X$60,$C$85:$D112)</f>
        <v>0.51422112523463359</v>
      </c>
      <c r="Y112" s="88">
        <f>DSUM($B$60:$Y$78,Y$60,$C$85:$D112)</f>
        <v>119.37282587197582</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1:79">
      <c r="B113" s="71" t="s">
        <v>273</v>
      </c>
      <c r="C113" s="99" t="s">
        <v>274</v>
      </c>
      <c r="D113" s="99" t="s">
        <v>275</v>
      </c>
      <c r="E113" s="88">
        <f>DSUM($B$60:$Y$78,E$60,$C$85:$D113)</f>
        <v>0.71877137749439846</v>
      </c>
      <c r="F113" s="88">
        <f>DSUM($B$60:$Y$78,F$60,$C$85:$D113)</f>
        <v>1.1247906718079712</v>
      </c>
      <c r="G113" s="88">
        <f>DSUM($B$60:$Y$78,G$60,$C$85:$D113)</f>
        <v>2.2395293997395957</v>
      </c>
      <c r="H113" s="88">
        <f>DSUM($B$60:$Y$78,H$60,$C$85:$D113)</f>
        <v>3.9016734074616854</v>
      </c>
      <c r="I113" s="88">
        <f>DSUM($B$60:$Y$78,I$60,$C$85:$D113)</f>
        <v>6.0421786855423907</v>
      </c>
      <c r="J113" s="88">
        <f>DSUM($B$60:$Y$78,J$60,$C$85:$D113)</f>
        <v>8.4213118506112039</v>
      </c>
      <c r="K113" s="88">
        <f>DSUM($B$60:$Y$78,K$60,$C$85:$D113)</f>
        <v>10.670242091780482</v>
      </c>
      <c r="L113" s="88">
        <f>DSUM($B$60:$Y$78,L$60,$C$85:$D113)</f>
        <v>12.393137127413491</v>
      </c>
      <c r="M113" s="88">
        <f>DSUM($B$60:$Y$78,M$60,$C$85:$D113)</f>
        <v>13.287006526463205</v>
      </c>
      <c r="N113" s="88">
        <f>DSUM($B$60:$Y$78,N$60,$C$85:$D113)</f>
        <v>13.227853396909259</v>
      </c>
      <c r="O113" s="88">
        <f>DSUM($B$60:$Y$78,O$60,$C$85:$D113)</f>
        <v>12.291061355217268</v>
      </c>
      <c r="P113" s="88">
        <f>DSUM($B$60:$Y$78,P$60,$C$85:$D113)</f>
        <v>10.706849209804181</v>
      </c>
      <c r="Q113" s="88">
        <f>DSUM($B$60:$Y$78,Q$60,$C$85:$D113)</f>
        <v>8.7782117840612557</v>
      </c>
      <c r="R113" s="88">
        <f>DSUM($B$60:$Y$78,R$60,$C$85:$D113)</f>
        <v>6.7971654858758788</v>
      </c>
      <c r="S113" s="88">
        <f>DSUM($B$60:$Y$78,S$60,$C$85:$D113)</f>
        <v>4.9861982138959844</v>
      </c>
      <c r="T113" s="88">
        <f>DSUM($B$60:$Y$78,T$60,$C$85:$D113)</f>
        <v>3.4748482153770803</v>
      </c>
      <c r="U113" s="88">
        <f>DSUM($B$60:$Y$78,U$60,$C$85:$D113)</f>
        <v>2.3062895813174742</v>
      </c>
      <c r="V113" s="88">
        <f>DSUM($B$60:$Y$78,V$60,$C$85:$D113)</f>
        <v>1.4611319710194397</v>
      </c>
      <c r="W113" s="88">
        <f>DSUM($B$60:$Y$78,W$60,$C$85:$D113)</f>
        <v>0.88544356712897088</v>
      </c>
      <c r="X113" s="88">
        <f>DSUM($B$60:$Y$78,X$60,$C$85:$D113)</f>
        <v>0.51422112523463359</v>
      </c>
      <c r="Y113" s="88">
        <f>DSUM($B$60:$Y$78,Y$60,$C$85:$D113)</f>
        <v>119.37282587197582</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1:79">
      <c r="B114" s="71" t="s">
        <v>276</v>
      </c>
      <c r="C114" s="99" t="s">
        <v>277</v>
      </c>
      <c r="D114" s="99" t="s">
        <v>278</v>
      </c>
      <c r="E114" s="88">
        <f>DSUM($B$60:$Y$78,E$60,$C$85:$D114)</f>
        <v>0.71877137749439846</v>
      </c>
      <c r="F114" s="88">
        <f>DSUM($B$60:$Y$78,F$60,$C$85:$D114)</f>
        <v>1.1247906718079712</v>
      </c>
      <c r="G114" s="88">
        <f>DSUM($B$60:$Y$78,G$60,$C$85:$D114)</f>
        <v>2.2395293997395957</v>
      </c>
      <c r="H114" s="88">
        <f>DSUM($B$60:$Y$78,H$60,$C$85:$D114)</f>
        <v>3.9016734074616854</v>
      </c>
      <c r="I114" s="88">
        <f>DSUM($B$60:$Y$78,I$60,$C$85:$D114)</f>
        <v>6.0421786855423907</v>
      </c>
      <c r="J114" s="88">
        <f>DSUM($B$60:$Y$78,J$60,$C$85:$D114)</f>
        <v>8.4213118506112039</v>
      </c>
      <c r="K114" s="88">
        <f>DSUM($B$60:$Y$78,K$60,$C$85:$D114)</f>
        <v>10.670242091780482</v>
      </c>
      <c r="L114" s="88">
        <f>DSUM($B$60:$Y$78,L$60,$C$85:$D114)</f>
        <v>12.393137127413491</v>
      </c>
      <c r="M114" s="88">
        <f>DSUM($B$60:$Y$78,M$60,$C$85:$D114)</f>
        <v>13.287006526463205</v>
      </c>
      <c r="N114" s="88">
        <f>DSUM($B$60:$Y$78,N$60,$C$85:$D114)</f>
        <v>13.227853396909259</v>
      </c>
      <c r="O114" s="88">
        <f>DSUM($B$60:$Y$78,O$60,$C$85:$D114)</f>
        <v>12.291061355217268</v>
      </c>
      <c r="P114" s="88">
        <f>DSUM($B$60:$Y$78,P$60,$C$85:$D114)</f>
        <v>10.706849209804181</v>
      </c>
      <c r="Q114" s="88">
        <f>DSUM($B$60:$Y$78,Q$60,$C$85:$D114)</f>
        <v>8.7782117840612557</v>
      </c>
      <c r="R114" s="88">
        <f>DSUM($B$60:$Y$78,R$60,$C$85:$D114)</f>
        <v>6.7971654858758788</v>
      </c>
      <c r="S114" s="88">
        <f>DSUM($B$60:$Y$78,S$60,$C$85:$D114)</f>
        <v>4.9861982138959844</v>
      </c>
      <c r="T114" s="88">
        <f>DSUM($B$60:$Y$78,T$60,$C$85:$D114)</f>
        <v>3.4748482153770803</v>
      </c>
      <c r="U114" s="88">
        <f>DSUM($B$60:$Y$78,U$60,$C$85:$D114)</f>
        <v>2.3062895813174742</v>
      </c>
      <c r="V114" s="88">
        <f>DSUM($B$60:$Y$78,V$60,$C$85:$D114)</f>
        <v>1.4611319710194397</v>
      </c>
      <c r="W114" s="88">
        <f>DSUM($B$60:$Y$78,W$60,$C$85:$D114)</f>
        <v>0.88544356712897088</v>
      </c>
      <c r="X114" s="88">
        <f>DSUM($B$60:$Y$78,X$60,$C$85:$D114)</f>
        <v>0.51422112523463359</v>
      </c>
      <c r="Y114" s="88">
        <f>DSUM($B$60:$Y$78,Y$60,$C$85:$D114)</f>
        <v>119.37282587197582</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1:79">
      <c r="B115" s="71" t="s">
        <v>279</v>
      </c>
      <c r="C115" s="99" t="s">
        <v>280</v>
      </c>
      <c r="D115" s="99" t="s">
        <v>281</v>
      </c>
      <c r="E115" s="88">
        <f>DSUM($B$60:$Y$78,E$60,$C$85:$D115)</f>
        <v>0.71877137749439846</v>
      </c>
      <c r="F115" s="88">
        <f>DSUM($B$60:$Y$78,F$60,$C$85:$D115)</f>
        <v>1.1247906718079712</v>
      </c>
      <c r="G115" s="88">
        <f>DSUM($B$60:$Y$78,G$60,$C$85:$D115)</f>
        <v>2.2395293997395957</v>
      </c>
      <c r="H115" s="88">
        <f>DSUM($B$60:$Y$78,H$60,$C$85:$D115)</f>
        <v>3.9016734074616854</v>
      </c>
      <c r="I115" s="88">
        <f>DSUM($B$60:$Y$78,I$60,$C$85:$D115)</f>
        <v>6.0421786855423907</v>
      </c>
      <c r="J115" s="88">
        <f>DSUM($B$60:$Y$78,J$60,$C$85:$D115)</f>
        <v>8.4213118506112039</v>
      </c>
      <c r="K115" s="88">
        <f>DSUM($B$60:$Y$78,K$60,$C$85:$D115)</f>
        <v>10.670242091780482</v>
      </c>
      <c r="L115" s="88">
        <f>DSUM($B$60:$Y$78,L$60,$C$85:$D115)</f>
        <v>12.393137127413491</v>
      </c>
      <c r="M115" s="88">
        <f>DSUM($B$60:$Y$78,M$60,$C$85:$D115)</f>
        <v>13.287006526463205</v>
      </c>
      <c r="N115" s="88">
        <f>DSUM($B$60:$Y$78,N$60,$C$85:$D115)</f>
        <v>13.227853396909259</v>
      </c>
      <c r="O115" s="88">
        <f>DSUM($B$60:$Y$78,O$60,$C$85:$D115)</f>
        <v>12.291061355217268</v>
      </c>
      <c r="P115" s="88">
        <f>DSUM($B$60:$Y$78,P$60,$C$85:$D115)</f>
        <v>10.706849209804181</v>
      </c>
      <c r="Q115" s="88">
        <f>DSUM($B$60:$Y$78,Q$60,$C$85:$D115)</f>
        <v>8.7782117840612557</v>
      </c>
      <c r="R115" s="88">
        <f>DSUM($B$60:$Y$78,R$60,$C$85:$D115)</f>
        <v>6.7971654858758788</v>
      </c>
      <c r="S115" s="88">
        <f>DSUM($B$60:$Y$78,S$60,$C$85:$D115)</f>
        <v>4.9861982138959844</v>
      </c>
      <c r="T115" s="88">
        <f>DSUM($B$60:$Y$78,T$60,$C$85:$D115)</f>
        <v>3.4748482153770803</v>
      </c>
      <c r="U115" s="88">
        <f>DSUM($B$60:$Y$78,U$60,$C$85:$D115)</f>
        <v>2.3062895813174742</v>
      </c>
      <c r="V115" s="88">
        <f>DSUM($B$60:$Y$78,V$60,$C$85:$D115)</f>
        <v>1.4611319710194397</v>
      </c>
      <c r="W115" s="88">
        <f>DSUM($B$60:$Y$78,W$60,$C$85:$D115)</f>
        <v>0.88544356712897088</v>
      </c>
      <c r="X115" s="88">
        <f>DSUM($B$60:$Y$78,X$60,$C$85:$D115)</f>
        <v>0.51422112523463359</v>
      </c>
      <c r="Y115" s="88">
        <f>DSUM($B$60:$Y$78,Y$60,$C$85:$D115)</f>
        <v>119.37282587197582</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1:79">
      <c r="B116" s="71" t="s">
        <v>282</v>
      </c>
      <c r="C116" s="99" t="s">
        <v>283</v>
      </c>
      <c r="D116" s="99" t="s">
        <v>284</v>
      </c>
      <c r="E116" s="88">
        <f>DSUM($B$60:$Y$78,E$60,$C$85:$D116)</f>
        <v>0.71877137749439846</v>
      </c>
      <c r="F116" s="88">
        <f>DSUM($B$60:$Y$78,F$60,$C$85:$D116)</f>
        <v>1.1247906718079712</v>
      </c>
      <c r="G116" s="88">
        <f>DSUM($B$60:$Y$78,G$60,$C$85:$D116)</f>
        <v>2.2395293997395957</v>
      </c>
      <c r="H116" s="88">
        <f>DSUM($B$60:$Y$78,H$60,$C$85:$D116)</f>
        <v>3.9016734074616854</v>
      </c>
      <c r="I116" s="88">
        <f>DSUM($B$60:$Y$78,I$60,$C$85:$D116)</f>
        <v>6.0421786855423907</v>
      </c>
      <c r="J116" s="88">
        <f>DSUM($B$60:$Y$78,J$60,$C$85:$D116)</f>
        <v>8.4213118506112039</v>
      </c>
      <c r="K116" s="88">
        <f>DSUM($B$60:$Y$78,K$60,$C$85:$D116)</f>
        <v>10.670242091780482</v>
      </c>
      <c r="L116" s="88">
        <f>DSUM($B$60:$Y$78,L$60,$C$85:$D116)</f>
        <v>12.393137127413491</v>
      </c>
      <c r="M116" s="88">
        <f>DSUM($B$60:$Y$78,M$60,$C$85:$D116)</f>
        <v>13.287006526463205</v>
      </c>
      <c r="N116" s="88">
        <f>DSUM($B$60:$Y$78,N$60,$C$85:$D116)</f>
        <v>13.227853396909259</v>
      </c>
      <c r="O116" s="88">
        <f>DSUM($B$60:$Y$78,O$60,$C$85:$D116)</f>
        <v>12.291061355217268</v>
      </c>
      <c r="P116" s="88">
        <f>DSUM($B$60:$Y$78,P$60,$C$85:$D116)</f>
        <v>10.706849209804181</v>
      </c>
      <c r="Q116" s="88">
        <f>DSUM($B$60:$Y$78,Q$60,$C$85:$D116)</f>
        <v>8.7782117840612557</v>
      </c>
      <c r="R116" s="88">
        <f>DSUM($B$60:$Y$78,R$60,$C$85:$D116)</f>
        <v>6.7971654858758788</v>
      </c>
      <c r="S116" s="88">
        <f>DSUM($B$60:$Y$78,S$60,$C$85:$D116)</f>
        <v>4.9861982138959844</v>
      </c>
      <c r="T116" s="88">
        <f>DSUM($B$60:$Y$78,T$60,$C$85:$D116)</f>
        <v>3.4748482153770803</v>
      </c>
      <c r="U116" s="88">
        <f>DSUM($B$60:$Y$78,U$60,$C$85:$D116)</f>
        <v>2.3062895813174742</v>
      </c>
      <c r="V116" s="88">
        <f>DSUM($B$60:$Y$78,V$60,$C$85:$D116)</f>
        <v>1.4611319710194397</v>
      </c>
      <c r="W116" s="88">
        <f>DSUM($B$60:$Y$78,W$60,$C$85:$D116)</f>
        <v>0.88544356712897088</v>
      </c>
      <c r="X116" s="88">
        <f>DSUM($B$60:$Y$78,X$60,$C$85:$D116)</f>
        <v>0.51422112523463359</v>
      </c>
      <c r="Y116" s="88">
        <f>DSUM($B$60:$Y$78,Y$60,$C$85:$D116)</f>
        <v>119.37282587197582</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1:79">
      <c r="B117" s="71" t="s">
        <v>285</v>
      </c>
      <c r="C117" s="99" t="s">
        <v>286</v>
      </c>
      <c r="D117" s="99" t="s">
        <v>287</v>
      </c>
      <c r="E117" s="88">
        <f>DSUM($B$60:$Y$78,E$60,$C$85:$D117)</f>
        <v>0.71877137749439846</v>
      </c>
      <c r="F117" s="88">
        <f>DSUM($B$60:$Y$78,F$60,$C$85:$D117)</f>
        <v>1.1247906718079712</v>
      </c>
      <c r="G117" s="88">
        <f>DSUM($B$60:$Y$78,G$60,$C$85:$D117)</f>
        <v>2.2395293997395957</v>
      </c>
      <c r="H117" s="88">
        <f>DSUM($B$60:$Y$78,H$60,$C$85:$D117)</f>
        <v>3.9016734074616854</v>
      </c>
      <c r="I117" s="88">
        <f>DSUM($B$60:$Y$78,I$60,$C$85:$D117)</f>
        <v>6.0421786855423907</v>
      </c>
      <c r="J117" s="88">
        <f>DSUM($B$60:$Y$78,J$60,$C$85:$D117)</f>
        <v>8.4213118506112039</v>
      </c>
      <c r="K117" s="88">
        <f>DSUM($B$60:$Y$78,K$60,$C$85:$D117)</f>
        <v>10.670242091780482</v>
      </c>
      <c r="L117" s="88">
        <f>DSUM($B$60:$Y$78,L$60,$C$85:$D117)</f>
        <v>12.393137127413491</v>
      </c>
      <c r="M117" s="88">
        <f>DSUM($B$60:$Y$78,M$60,$C$85:$D117)</f>
        <v>13.287006526463205</v>
      </c>
      <c r="N117" s="88">
        <f>DSUM($B$60:$Y$78,N$60,$C$85:$D117)</f>
        <v>13.227853396909259</v>
      </c>
      <c r="O117" s="88">
        <f>DSUM($B$60:$Y$78,O$60,$C$85:$D117)</f>
        <v>12.291061355217268</v>
      </c>
      <c r="P117" s="88">
        <f>DSUM($B$60:$Y$78,P$60,$C$85:$D117)</f>
        <v>10.706849209804181</v>
      </c>
      <c r="Q117" s="88">
        <f>DSUM($B$60:$Y$78,Q$60,$C$85:$D117)</f>
        <v>8.7782117840612557</v>
      </c>
      <c r="R117" s="88">
        <f>DSUM($B$60:$Y$78,R$60,$C$85:$D117)</f>
        <v>6.7971654858758788</v>
      </c>
      <c r="S117" s="88">
        <f>DSUM($B$60:$Y$78,S$60,$C$85:$D117)</f>
        <v>4.9861982138959844</v>
      </c>
      <c r="T117" s="88">
        <f>DSUM($B$60:$Y$78,T$60,$C$85:$D117)</f>
        <v>3.4748482153770803</v>
      </c>
      <c r="U117" s="88">
        <f>DSUM($B$60:$Y$78,U$60,$C$85:$D117)</f>
        <v>2.3062895813174742</v>
      </c>
      <c r="V117" s="88">
        <f>DSUM($B$60:$Y$78,V$60,$C$85:$D117)</f>
        <v>1.4611319710194397</v>
      </c>
      <c r="W117" s="88">
        <f>DSUM($B$60:$Y$78,W$60,$C$85:$D117)</f>
        <v>0.88544356712897088</v>
      </c>
      <c r="X117" s="88">
        <f>DSUM($B$60:$Y$78,X$60,$C$85:$D117)</f>
        <v>0.51422112523463359</v>
      </c>
      <c r="Y117" s="88">
        <f>DSUM($B$60:$Y$78,Y$60,$C$85:$D117)</f>
        <v>119.37282587197582</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1:79">
      <c r="C118" s="100"/>
      <c r="D118" s="100"/>
      <c r="E118" s="88"/>
      <c r="F118" s="88"/>
      <c r="G118" s="88"/>
      <c r="H118" s="88"/>
      <c r="I118" s="88"/>
      <c r="J118" s="88"/>
      <c r="K118" s="88"/>
      <c r="L118" s="88"/>
      <c r="M118" s="88"/>
      <c r="N118" s="88"/>
      <c r="O118" s="88"/>
      <c r="P118" s="88"/>
      <c r="Q118" s="88"/>
      <c r="R118" s="88"/>
      <c r="S118" s="88"/>
      <c r="T118" s="88"/>
      <c r="U118" s="88"/>
      <c r="V118" s="88"/>
      <c r="W118" s="88"/>
      <c r="X118" s="88"/>
      <c r="Y118" s="8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1:79">
      <c r="E119" s="101">
        <f>E117</f>
        <v>0.71877137749439846</v>
      </c>
      <c r="F119" s="101">
        <f t="shared" ref="F119:Y119" si="51">F117</f>
        <v>1.1247906718079712</v>
      </c>
      <c r="G119" s="101">
        <f t="shared" si="51"/>
        <v>2.2395293997395957</v>
      </c>
      <c r="H119" s="101">
        <f t="shared" si="51"/>
        <v>3.9016734074616854</v>
      </c>
      <c r="I119" s="101">
        <f t="shared" si="51"/>
        <v>6.0421786855423907</v>
      </c>
      <c r="J119" s="101">
        <f t="shared" si="51"/>
        <v>8.4213118506112039</v>
      </c>
      <c r="K119" s="101">
        <f t="shared" si="51"/>
        <v>10.670242091780482</v>
      </c>
      <c r="L119" s="101">
        <f t="shared" si="51"/>
        <v>12.393137127413491</v>
      </c>
      <c r="M119" s="101">
        <f t="shared" si="51"/>
        <v>13.287006526463205</v>
      </c>
      <c r="N119" s="101">
        <f t="shared" si="51"/>
        <v>13.227853396909259</v>
      </c>
      <c r="O119" s="101">
        <f t="shared" si="51"/>
        <v>12.291061355217268</v>
      </c>
      <c r="P119" s="101">
        <f t="shared" si="51"/>
        <v>10.706849209804181</v>
      </c>
      <c r="Q119" s="101">
        <f t="shared" si="51"/>
        <v>8.7782117840612557</v>
      </c>
      <c r="R119" s="101">
        <f t="shared" si="51"/>
        <v>6.7971654858758788</v>
      </c>
      <c r="S119" s="101">
        <f t="shared" si="51"/>
        <v>4.9861982138959844</v>
      </c>
      <c r="T119" s="101">
        <f t="shared" si="51"/>
        <v>3.4748482153770803</v>
      </c>
      <c r="U119" s="101">
        <f t="shared" si="51"/>
        <v>2.3062895813174742</v>
      </c>
      <c r="V119" s="101">
        <f t="shared" si="51"/>
        <v>1.4611319710194397</v>
      </c>
      <c r="W119" s="101">
        <f t="shared" si="51"/>
        <v>0.88544356712897088</v>
      </c>
      <c r="X119" s="101">
        <f t="shared" si="51"/>
        <v>0.51422112523463359</v>
      </c>
      <c r="Y119" s="101">
        <f t="shared" si="51"/>
        <v>119.37282587197582</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1:79" ht="15">
      <c r="A120" s="89" t="s">
        <v>288</v>
      </c>
      <c r="B120" s="102"/>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1:79" ht="15">
      <c r="D121" s="90" t="str">
        <f>C8</f>
        <v>Advanced Rooftop Controller-Retro</v>
      </c>
      <c r="E121" s="91">
        <f>E84</f>
        <v>2016</v>
      </c>
      <c r="F121" s="91">
        <f t="shared" ref="F121:Y121" si="52">F84</f>
        <v>2017</v>
      </c>
      <c r="G121" s="91">
        <f t="shared" si="52"/>
        <v>2018</v>
      </c>
      <c r="H121" s="91">
        <f t="shared" si="52"/>
        <v>2019</v>
      </c>
      <c r="I121" s="91">
        <f t="shared" si="52"/>
        <v>2020</v>
      </c>
      <c r="J121" s="91">
        <f t="shared" si="52"/>
        <v>2021</v>
      </c>
      <c r="K121" s="91">
        <f t="shared" si="52"/>
        <v>2022</v>
      </c>
      <c r="L121" s="91">
        <f t="shared" si="52"/>
        <v>2023</v>
      </c>
      <c r="M121" s="91">
        <f t="shared" si="52"/>
        <v>2024</v>
      </c>
      <c r="N121" s="91">
        <f t="shared" si="52"/>
        <v>2025</v>
      </c>
      <c r="O121" s="91">
        <f t="shared" si="52"/>
        <v>2026</v>
      </c>
      <c r="P121" s="91">
        <f t="shared" si="52"/>
        <v>2027</v>
      </c>
      <c r="Q121" s="91">
        <f t="shared" si="52"/>
        <v>2028</v>
      </c>
      <c r="R121" s="91">
        <f t="shared" si="52"/>
        <v>2029</v>
      </c>
      <c r="S121" s="91">
        <f t="shared" si="52"/>
        <v>2030</v>
      </c>
      <c r="T121" s="91">
        <f t="shared" si="52"/>
        <v>2031</v>
      </c>
      <c r="U121" s="91">
        <f t="shared" si="52"/>
        <v>2032</v>
      </c>
      <c r="V121" s="91">
        <f t="shared" si="52"/>
        <v>2033</v>
      </c>
      <c r="W121" s="91">
        <f t="shared" si="52"/>
        <v>2034</v>
      </c>
      <c r="X121" s="91">
        <f t="shared" si="52"/>
        <v>2035</v>
      </c>
      <c r="Y121" s="91" t="str">
        <f t="shared" si="52"/>
        <v>Max</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1:79" ht="15">
      <c r="E122" s="92" t="str">
        <f>CONCATENATE("aMW_",E$11)</f>
        <v>aMW_2016</v>
      </c>
      <c r="F122" s="92" t="str">
        <f t="shared" ref="F122:Y122" si="53">CONCATENATE("aMW_",F$11)</f>
        <v>aMW_2017</v>
      </c>
      <c r="G122" s="92" t="str">
        <f t="shared" si="53"/>
        <v>aMW_2018</v>
      </c>
      <c r="H122" s="92" t="str">
        <f t="shared" si="53"/>
        <v>aMW_2019</v>
      </c>
      <c r="I122" s="92" t="str">
        <f t="shared" si="53"/>
        <v>aMW_2020</v>
      </c>
      <c r="J122" s="92" t="str">
        <f t="shared" si="53"/>
        <v>aMW_2021</v>
      </c>
      <c r="K122" s="92" t="str">
        <f t="shared" si="53"/>
        <v>aMW_2022</v>
      </c>
      <c r="L122" s="92" t="str">
        <f t="shared" si="53"/>
        <v>aMW_2023</v>
      </c>
      <c r="M122" s="92" t="str">
        <f t="shared" si="53"/>
        <v>aMW_2024</v>
      </c>
      <c r="N122" s="92" t="str">
        <f t="shared" si="53"/>
        <v>aMW_2025</v>
      </c>
      <c r="O122" s="92" t="str">
        <f t="shared" si="53"/>
        <v>aMW_2026</v>
      </c>
      <c r="P122" s="92" t="str">
        <f t="shared" si="53"/>
        <v>aMW_2027</v>
      </c>
      <c r="Q122" s="92" t="str">
        <f t="shared" si="53"/>
        <v>aMW_2028</v>
      </c>
      <c r="R122" s="92" t="str">
        <f t="shared" si="53"/>
        <v>aMW_2029</v>
      </c>
      <c r="S122" s="92" t="str">
        <f t="shared" si="53"/>
        <v>aMW_2030</v>
      </c>
      <c r="T122" s="92" t="str">
        <f t="shared" si="53"/>
        <v>aMW_2031</v>
      </c>
      <c r="U122" s="92" t="str">
        <f t="shared" si="53"/>
        <v>aMW_2032</v>
      </c>
      <c r="V122" s="92" t="str">
        <f t="shared" si="53"/>
        <v>aMW_2033</v>
      </c>
      <c r="W122" s="92" t="str">
        <f t="shared" si="53"/>
        <v>aMW_2034</v>
      </c>
      <c r="X122" s="92" t="str">
        <f t="shared" si="53"/>
        <v>aMW_2035</v>
      </c>
      <c r="Y122" s="92" t="str">
        <f t="shared" si="53"/>
        <v>aMW_</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1:79">
      <c r="C123" s="71" t="s">
        <v>192</v>
      </c>
      <c r="E123" s="103">
        <f t="shared" ref="E123:Y123" si="54">E86</f>
        <v>0</v>
      </c>
      <c r="F123" s="103">
        <f t="shared" si="54"/>
        <v>0</v>
      </c>
      <c r="G123" s="103">
        <f t="shared" si="54"/>
        <v>0</v>
      </c>
      <c r="H123" s="103">
        <f t="shared" si="54"/>
        <v>0</v>
      </c>
      <c r="I123" s="103">
        <f t="shared" si="54"/>
        <v>0</v>
      </c>
      <c r="J123" s="103">
        <f t="shared" si="54"/>
        <v>0</v>
      </c>
      <c r="K123" s="103">
        <f t="shared" si="54"/>
        <v>0</v>
      </c>
      <c r="L123" s="103">
        <f t="shared" si="54"/>
        <v>0</v>
      </c>
      <c r="M123" s="103">
        <f t="shared" si="54"/>
        <v>0</v>
      </c>
      <c r="N123" s="103">
        <f t="shared" si="54"/>
        <v>0</v>
      </c>
      <c r="O123" s="103">
        <f t="shared" si="54"/>
        <v>0</v>
      </c>
      <c r="P123" s="103">
        <f t="shared" si="54"/>
        <v>0</v>
      </c>
      <c r="Q123" s="103">
        <f t="shared" si="54"/>
        <v>0</v>
      </c>
      <c r="R123" s="103">
        <f t="shared" si="54"/>
        <v>0</v>
      </c>
      <c r="S123" s="103">
        <f t="shared" si="54"/>
        <v>0</v>
      </c>
      <c r="T123" s="103">
        <f t="shared" si="54"/>
        <v>0</v>
      </c>
      <c r="U123" s="103">
        <f t="shared" si="54"/>
        <v>0</v>
      </c>
      <c r="V123" s="103">
        <f t="shared" si="54"/>
        <v>0</v>
      </c>
      <c r="W123" s="103">
        <f t="shared" si="54"/>
        <v>0</v>
      </c>
      <c r="X123" s="103">
        <f t="shared" si="54"/>
        <v>0</v>
      </c>
      <c r="Y123" s="103">
        <f t="shared" si="54"/>
        <v>0</v>
      </c>
      <c r="Z123" s="282"/>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1:79">
      <c r="C124" s="71" t="s">
        <v>195</v>
      </c>
      <c r="E124" s="103">
        <f t="shared" ref="E124:Y136" si="55">E87-E86</f>
        <v>0.2133573478063916</v>
      </c>
      <c r="F124" s="103">
        <f t="shared" si="55"/>
        <v>0.33383520862129418</v>
      </c>
      <c r="G124" s="103">
        <f t="shared" si="55"/>
        <v>0.66459913332327258</v>
      </c>
      <c r="H124" s="103">
        <f t="shared" si="55"/>
        <v>1.1576984602924749</v>
      </c>
      <c r="I124" s="103">
        <f t="shared" si="55"/>
        <v>1.7925802959168675</v>
      </c>
      <c r="J124" s="103">
        <f t="shared" si="55"/>
        <v>2.4980681971779086</v>
      </c>
      <c r="K124" s="103">
        <f t="shared" si="55"/>
        <v>3.1647344698720437</v>
      </c>
      <c r="L124" s="103">
        <f t="shared" si="55"/>
        <v>3.6752061398624036</v>
      </c>
      <c r="M124" s="103">
        <f t="shared" si="55"/>
        <v>3.9397078986666525</v>
      </c>
      <c r="N124" s="103">
        <f t="shared" si="55"/>
        <v>3.9215852423327862</v>
      </c>
      <c r="O124" s="103">
        <f t="shared" si="55"/>
        <v>3.6433095535368558</v>
      </c>
      <c r="P124" s="103">
        <f t="shared" si="55"/>
        <v>3.1732315383917591</v>
      </c>
      <c r="Q124" s="103">
        <f t="shared" si="55"/>
        <v>2.601228554494833</v>
      </c>
      <c r="R124" s="103">
        <f t="shared" si="55"/>
        <v>2.013871146889902</v>
      </c>
      <c r="S124" s="103">
        <f t="shared" si="55"/>
        <v>1.4770790923473158</v>
      </c>
      <c r="T124" s="103">
        <f t="shared" si="55"/>
        <v>1.0291991699657586</v>
      </c>
      <c r="U124" s="103">
        <f t="shared" si="55"/>
        <v>0.68297656918927729</v>
      </c>
      <c r="V124" s="103">
        <f t="shared" si="55"/>
        <v>0.4326221944360959</v>
      </c>
      <c r="W124" s="103">
        <f t="shared" si="55"/>
        <v>0.26212390664277213</v>
      </c>
      <c r="X124" s="103">
        <f t="shared" si="55"/>
        <v>0.15220224639211846</v>
      </c>
      <c r="Y124" s="103">
        <f t="shared" si="55"/>
        <v>35.33268347853209</v>
      </c>
      <c r="Z124" s="282"/>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1:79">
      <c r="C125" s="71" t="s">
        <v>198</v>
      </c>
      <c r="E125" s="103">
        <f t="shared" si="55"/>
        <v>0.15300118274816865</v>
      </c>
      <c r="F125" s="103">
        <f t="shared" si="55"/>
        <v>0.23942459814861411</v>
      </c>
      <c r="G125" s="103">
        <f t="shared" si="55"/>
        <v>0.47670075956984159</v>
      </c>
      <c r="H125" s="103">
        <f t="shared" si="55"/>
        <v>0.830483433783334</v>
      </c>
      <c r="I125" s="103">
        <f t="shared" si="55"/>
        <v>1.2860669600236245</v>
      </c>
      <c r="J125" s="103">
        <f t="shared" si="55"/>
        <v>1.7924155287681787</v>
      </c>
      <c r="K125" s="103">
        <f t="shared" si="55"/>
        <v>2.27102089169765</v>
      </c>
      <c r="L125" s="103">
        <f t="shared" si="55"/>
        <v>2.6376368409574944</v>
      </c>
      <c r="M125" s="103">
        <f t="shared" si="55"/>
        <v>2.8277874624078123</v>
      </c>
      <c r="N125" s="103">
        <f t="shared" si="55"/>
        <v>2.8151001226598096</v>
      </c>
      <c r="O125" s="103">
        <f t="shared" si="55"/>
        <v>2.6156383929910696</v>
      </c>
      <c r="P125" s="103">
        <f t="shared" si="55"/>
        <v>2.2784150334760325</v>
      </c>
      <c r="Q125" s="103">
        <f t="shared" si="55"/>
        <v>1.8679232720997083</v>
      </c>
      <c r="R125" s="103">
        <f t="shared" si="55"/>
        <v>1.4463108512369134</v>
      </c>
      <c r="S125" s="103">
        <f t="shared" si="55"/>
        <v>1.0609212795639205</v>
      </c>
      <c r="T125" s="103">
        <f t="shared" si="55"/>
        <v>0.73931289559605817</v>
      </c>
      <c r="U125" s="103">
        <f t="shared" si="55"/>
        <v>0.49066389671410016</v>
      </c>
      <c r="V125" s="103">
        <f t="shared" si="55"/>
        <v>0.31083974177720358</v>
      </c>
      <c r="W125" s="103">
        <f t="shared" si="55"/>
        <v>0.18835789150293153</v>
      </c>
      <c r="X125" s="103">
        <f t="shared" si="55"/>
        <v>0.10938246225066581</v>
      </c>
      <c r="Y125" s="103">
        <f t="shared" si="55"/>
        <v>25.392371061649399</v>
      </c>
      <c r="Z125" s="282"/>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1:79">
      <c r="C126" s="71" t="s">
        <v>201</v>
      </c>
      <c r="E126" s="103">
        <f t="shared" si="55"/>
        <v>0.17457946957557136</v>
      </c>
      <c r="F126" s="103">
        <f t="shared" si="55"/>
        <v>0.27313087238736589</v>
      </c>
      <c r="G126" s="103">
        <f t="shared" si="55"/>
        <v>0.54369273637141635</v>
      </c>
      <c r="H126" s="103">
        <f t="shared" si="55"/>
        <v>0.94699206105510658</v>
      </c>
      <c r="I126" s="103">
        <f t="shared" si="55"/>
        <v>1.4661845338419806</v>
      </c>
      <c r="J126" s="103">
        <f t="shared" si="55"/>
        <v>2.0430333038868849</v>
      </c>
      <c r="K126" s="103">
        <f t="shared" si="55"/>
        <v>2.5880435262313828</v>
      </c>
      <c r="L126" s="103">
        <f t="shared" si="55"/>
        <v>3.0052537232930785</v>
      </c>
      <c r="M126" s="103">
        <f t="shared" si="55"/>
        <v>3.2212957534726439</v>
      </c>
      <c r="N126" s="103">
        <f t="shared" si="55"/>
        <v>3.2062498599689473</v>
      </c>
      <c r="O126" s="103">
        <f t="shared" si="55"/>
        <v>2.9785362501176262</v>
      </c>
      <c r="P126" s="103">
        <f t="shared" si="55"/>
        <v>2.5940699056258465</v>
      </c>
      <c r="Q126" s="103">
        <f t="shared" si="55"/>
        <v>2.1263438741567748</v>
      </c>
      <c r="R126" s="103">
        <f t="shared" si="55"/>
        <v>1.6461284308612996</v>
      </c>
      <c r="S126" s="103">
        <f t="shared" si="55"/>
        <v>1.207298901957456</v>
      </c>
      <c r="T126" s="103">
        <f t="shared" si="55"/>
        <v>0.84118489748638314</v>
      </c>
      <c r="U126" s="103">
        <f t="shared" si="55"/>
        <v>0.5581883794279574</v>
      </c>
      <c r="V126" s="103">
        <f t="shared" si="55"/>
        <v>0.35356452780245129</v>
      </c>
      <c r="W126" s="103">
        <f t="shared" si="55"/>
        <v>0.21421672801116609</v>
      </c>
      <c r="X126" s="103">
        <f t="shared" si="55"/>
        <v>0.12438173778919581</v>
      </c>
      <c r="Y126" s="103">
        <f t="shared" si="55"/>
        <v>28.874347626205633</v>
      </c>
      <c r="Z126" s="282"/>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1:79">
      <c r="C127" s="71" t="s">
        <v>204</v>
      </c>
      <c r="E127" s="103">
        <f t="shared" si="55"/>
        <v>2.7918204227823318E-2</v>
      </c>
      <c r="F127" s="103">
        <f t="shared" si="55"/>
        <v>4.3489862280472469E-2</v>
      </c>
      <c r="G127" s="103">
        <f t="shared" si="55"/>
        <v>8.6196907039896464E-2</v>
      </c>
      <c r="H127" s="103">
        <f t="shared" si="55"/>
        <v>0.14948698603394028</v>
      </c>
      <c r="I127" s="103">
        <f t="shared" si="55"/>
        <v>0.23044249380387694</v>
      </c>
      <c r="J127" s="103">
        <f t="shared" si="55"/>
        <v>0.31971591590349835</v>
      </c>
      <c r="K127" s="103">
        <f t="shared" si="55"/>
        <v>0.40324896520410292</v>
      </c>
      <c r="L127" s="103">
        <f t="shared" si="55"/>
        <v>0.46622301193681004</v>
      </c>
      <c r="M127" s="103">
        <f t="shared" si="55"/>
        <v>0.49756754366240763</v>
      </c>
      <c r="N127" s="103">
        <f t="shared" si="55"/>
        <v>0.49308943576944664</v>
      </c>
      <c r="O127" s="103">
        <f t="shared" si="55"/>
        <v>0.45607485545768789</v>
      </c>
      <c r="P127" s="103">
        <f t="shared" si="55"/>
        <v>0.39547390903874735</v>
      </c>
      <c r="Q127" s="103">
        <f t="shared" si="55"/>
        <v>0.32275323611785645</v>
      </c>
      <c r="R127" s="103">
        <f t="shared" si="55"/>
        <v>0.24877102210550817</v>
      </c>
      <c r="S127" s="103">
        <f t="shared" si="55"/>
        <v>0.18165521898378056</v>
      </c>
      <c r="T127" s="103">
        <f t="shared" si="55"/>
        <v>0.12601422540904839</v>
      </c>
      <c r="U127" s="103">
        <f t="shared" si="55"/>
        <v>8.3253398253577915E-2</v>
      </c>
      <c r="V127" s="103">
        <f t="shared" si="55"/>
        <v>5.25026203350063E-2</v>
      </c>
      <c r="W127" s="103">
        <f t="shared" si="55"/>
        <v>3.1670493675125644E-2</v>
      </c>
      <c r="X127" s="103">
        <f t="shared" si="55"/>
        <v>1.830818455202804E-2</v>
      </c>
      <c r="Y127" s="103">
        <f t="shared" si="55"/>
        <v>4.2501165730288193</v>
      </c>
      <c r="Z127" s="282"/>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1:79">
      <c r="C128" s="71" t="s">
        <v>207</v>
      </c>
      <c r="E128" s="103">
        <f t="shared" si="55"/>
        <v>1.1175397497204309E-2</v>
      </c>
      <c r="F128" s="103">
        <f t="shared" si="55"/>
        <v>1.7524527528413714E-2</v>
      </c>
      <c r="G128" s="103">
        <f t="shared" si="55"/>
        <v>3.4964937324690748E-2</v>
      </c>
      <c r="H128" s="103">
        <f t="shared" si="55"/>
        <v>6.1041787581445295E-2</v>
      </c>
      <c r="I128" s="103">
        <f t="shared" si="55"/>
        <v>9.4726002453056068E-2</v>
      </c>
      <c r="J128" s="103">
        <f t="shared" si="55"/>
        <v>0.13229812406603525</v>
      </c>
      <c r="K128" s="103">
        <f t="shared" si="55"/>
        <v>0.16797531999598903</v>
      </c>
      <c r="L128" s="103">
        <f t="shared" si="55"/>
        <v>0.19550087576599751</v>
      </c>
      <c r="M128" s="103">
        <f t="shared" si="55"/>
        <v>0.21003411009986372</v>
      </c>
      <c r="N128" s="103">
        <f t="shared" si="55"/>
        <v>0.2095300282356245</v>
      </c>
      <c r="O128" s="103">
        <f t="shared" si="55"/>
        <v>0.19509201242333418</v>
      </c>
      <c r="P128" s="103">
        <f t="shared" si="55"/>
        <v>0.17029581764433033</v>
      </c>
      <c r="Q128" s="103">
        <f t="shared" si="55"/>
        <v>0.13990702985575076</v>
      </c>
      <c r="R128" s="103">
        <f t="shared" si="55"/>
        <v>0.10855541898763033</v>
      </c>
      <c r="S128" s="103">
        <f t="shared" si="55"/>
        <v>7.9796231776255944E-2</v>
      </c>
      <c r="T128" s="103">
        <f t="shared" si="55"/>
        <v>5.5723304573994437E-2</v>
      </c>
      <c r="U128" s="103">
        <f t="shared" si="55"/>
        <v>3.7059712428678004E-2</v>
      </c>
      <c r="V128" s="103">
        <f t="shared" si="55"/>
        <v>2.3526853075631182E-2</v>
      </c>
      <c r="W128" s="103">
        <f t="shared" si="55"/>
        <v>1.4286323512847865E-2</v>
      </c>
      <c r="X128" s="103">
        <f t="shared" si="55"/>
        <v>8.3136878629095912E-3</v>
      </c>
      <c r="Y128" s="103">
        <f t="shared" si="55"/>
        <v>1.9299642992306758</v>
      </c>
      <c r="Z128" s="282"/>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3:79">
      <c r="C129" s="71" t="s">
        <v>210</v>
      </c>
      <c r="E129" s="103">
        <f t="shared" si="55"/>
        <v>6.8891506273726089E-3</v>
      </c>
      <c r="F129" s="103">
        <f t="shared" si="55"/>
        <v>1.0806364222303078E-2</v>
      </c>
      <c r="G129" s="103">
        <f t="shared" si="55"/>
        <v>2.1567341714872512E-2</v>
      </c>
      <c r="H129" s="103">
        <f t="shared" si="55"/>
        <v>3.766358802022518E-2</v>
      </c>
      <c r="I129" s="103">
        <f t="shared" si="55"/>
        <v>5.8464769199483513E-2</v>
      </c>
      <c r="J129" s="103">
        <f t="shared" si="55"/>
        <v>8.1678790457830885E-2</v>
      </c>
      <c r="K129" s="103">
        <f t="shared" si="55"/>
        <v>0.10373651908819781</v>
      </c>
      <c r="L129" s="103">
        <f t="shared" si="55"/>
        <v>0.12077178446446446</v>
      </c>
      <c r="M129" s="103">
        <f t="shared" si="55"/>
        <v>0.12978879169532753</v>
      </c>
      <c r="N129" s="103">
        <f t="shared" si="55"/>
        <v>0.12951623523276723</v>
      </c>
      <c r="O129" s="103">
        <f t="shared" si="55"/>
        <v>0.12062796772952566</v>
      </c>
      <c r="P129" s="103">
        <f t="shared" si="55"/>
        <v>0.1053278178726309</v>
      </c>
      <c r="Q129" s="103">
        <f t="shared" si="55"/>
        <v>8.6558400727728468E-2</v>
      </c>
      <c r="R129" s="103">
        <f t="shared" si="55"/>
        <v>6.718182184482302E-2</v>
      </c>
      <c r="S129" s="103">
        <f t="shared" si="55"/>
        <v>4.9398440013962208E-2</v>
      </c>
      <c r="T129" s="103">
        <f t="shared" si="55"/>
        <v>3.4506292302952879E-2</v>
      </c>
      <c r="U129" s="103">
        <f t="shared" si="55"/>
        <v>2.2955886059411235E-2</v>
      </c>
      <c r="V129" s="103">
        <f t="shared" si="55"/>
        <v>1.4577613717345894E-2</v>
      </c>
      <c r="W129" s="103">
        <f t="shared" si="55"/>
        <v>8.8546960956330523E-3</v>
      </c>
      <c r="X129" s="103">
        <f t="shared" si="55"/>
        <v>5.1543923864018071E-3</v>
      </c>
      <c r="Y129" s="103">
        <f t="shared" si="55"/>
        <v>1.1965560235142476</v>
      </c>
      <c r="Z129" s="282"/>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3:79">
      <c r="C130" s="71" t="s">
        <v>213</v>
      </c>
      <c r="E130" s="103">
        <f t="shared" si="55"/>
        <v>5.3385384606949082E-2</v>
      </c>
      <c r="F130" s="103">
        <f t="shared" si="55"/>
        <v>8.3665118826398599E-2</v>
      </c>
      <c r="G130" s="103">
        <f t="shared" si="55"/>
        <v>0.16682824693983811</v>
      </c>
      <c r="H130" s="103">
        <f t="shared" si="55"/>
        <v>0.29107358384828252</v>
      </c>
      <c r="I130" s="103">
        <f t="shared" si="55"/>
        <v>0.45142278703937055</v>
      </c>
      <c r="J130" s="103">
        <f t="shared" si="55"/>
        <v>0.63009592614955334</v>
      </c>
      <c r="K130" s="103">
        <f t="shared" si="55"/>
        <v>0.79953444883595104</v>
      </c>
      <c r="L130" s="103">
        <f t="shared" si="55"/>
        <v>0.92999181973768508</v>
      </c>
      <c r="M130" s="103">
        <f t="shared" si="55"/>
        <v>0.99852506306912225</v>
      </c>
      <c r="N130" s="103">
        <f t="shared" si="55"/>
        <v>0.99552948787991369</v>
      </c>
      <c r="O130" s="103">
        <f t="shared" si="55"/>
        <v>0.92637337278852527</v>
      </c>
      <c r="P130" s="103">
        <f t="shared" si="55"/>
        <v>0.80814497108638861</v>
      </c>
      <c r="Q130" s="103">
        <f t="shared" si="55"/>
        <v>0.66353455920140014</v>
      </c>
      <c r="R130" s="103">
        <f t="shared" si="55"/>
        <v>0.51453418762961967</v>
      </c>
      <c r="S130" s="103">
        <f t="shared" si="55"/>
        <v>0.3779930626807495</v>
      </c>
      <c r="T130" s="103">
        <f t="shared" si="55"/>
        <v>0.26380135844489461</v>
      </c>
      <c r="U130" s="103">
        <f t="shared" si="55"/>
        <v>0.17533996957970621</v>
      </c>
      <c r="V130" s="103">
        <f t="shared" si="55"/>
        <v>0.11124524069970687</v>
      </c>
      <c r="W130" s="103">
        <f t="shared" si="55"/>
        <v>6.7511350855935959E-2</v>
      </c>
      <c r="X130" s="103">
        <f t="shared" si="55"/>
        <v>3.926347646862971E-2</v>
      </c>
      <c r="Y130" s="103">
        <f t="shared" si="55"/>
        <v>9.1147405456738682</v>
      </c>
      <c r="Z130" s="282"/>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3:79">
      <c r="C131" s="71" t="s">
        <v>216</v>
      </c>
      <c r="E131" s="103">
        <f t="shared" si="55"/>
        <v>5.6208514425465483E-2</v>
      </c>
      <c r="F131" s="103">
        <f t="shared" si="55"/>
        <v>8.807205297637144E-2</v>
      </c>
      <c r="G131" s="103">
        <f t="shared" si="55"/>
        <v>0.17558090877018873</v>
      </c>
      <c r="H131" s="103">
        <f t="shared" si="55"/>
        <v>0.30628419037293275</v>
      </c>
      <c r="I131" s="103">
        <f t="shared" si="55"/>
        <v>0.47491884994528721</v>
      </c>
      <c r="J131" s="103">
        <f t="shared" si="55"/>
        <v>0.6627607887965814</v>
      </c>
      <c r="K131" s="103">
        <f t="shared" si="55"/>
        <v>0.84081718932261751</v>
      </c>
      <c r="L131" s="103">
        <f t="shared" si="55"/>
        <v>0.97781761841691761</v>
      </c>
      <c r="M131" s="103">
        <f t="shared" si="55"/>
        <v>1.0496683207173767</v>
      </c>
      <c r="N131" s="103">
        <f t="shared" si="55"/>
        <v>1.0463131916469166</v>
      </c>
      <c r="O131" s="103">
        <f t="shared" si="55"/>
        <v>0.97343767281038218</v>
      </c>
      <c r="P131" s="103">
        <f t="shared" si="55"/>
        <v>0.84903567093400412</v>
      </c>
      <c r="Q131" s="103">
        <f t="shared" si="55"/>
        <v>0.69697122273914403</v>
      </c>
      <c r="R131" s="103">
        <f t="shared" si="55"/>
        <v>0.54035631934668871</v>
      </c>
      <c r="S131" s="103">
        <f t="shared" si="55"/>
        <v>0.39688491148008787</v>
      </c>
      <c r="T131" s="103">
        <f t="shared" si="55"/>
        <v>0.276931660018787</v>
      </c>
      <c r="U131" s="103">
        <f t="shared" si="55"/>
        <v>0.18403117200361363</v>
      </c>
      <c r="V131" s="103">
        <f t="shared" si="55"/>
        <v>0.11673654895098151</v>
      </c>
      <c r="W131" s="103">
        <f t="shared" si="55"/>
        <v>7.0829995590152572E-2</v>
      </c>
      <c r="X131" s="103">
        <f t="shared" si="55"/>
        <v>4.1185489774753004E-2</v>
      </c>
      <c r="Y131" s="103">
        <f t="shared" si="55"/>
        <v>9.5609224476927182</v>
      </c>
      <c r="Z131" s="282"/>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3:79">
      <c r="C132" s="71" t="s">
        <v>219</v>
      </c>
      <c r="E132" s="103">
        <f t="shared" si="55"/>
        <v>2.2256725979452052E-2</v>
      </c>
      <c r="F132" s="103">
        <f t="shared" si="55"/>
        <v>3.4842066816737738E-2</v>
      </c>
      <c r="G132" s="103">
        <f t="shared" si="55"/>
        <v>6.9398428685578661E-2</v>
      </c>
      <c r="H132" s="103">
        <f t="shared" si="55"/>
        <v>0.12094931647394391</v>
      </c>
      <c r="I132" s="103">
        <f t="shared" si="55"/>
        <v>0.1873719933188438</v>
      </c>
      <c r="J132" s="103">
        <f t="shared" si="55"/>
        <v>0.26124527540473252</v>
      </c>
      <c r="K132" s="103">
        <f t="shared" si="55"/>
        <v>0.33113076153254717</v>
      </c>
      <c r="L132" s="103">
        <f t="shared" si="55"/>
        <v>0.3847353129786395</v>
      </c>
      <c r="M132" s="103">
        <f t="shared" si="55"/>
        <v>0.41263158267199884</v>
      </c>
      <c r="N132" s="103">
        <f t="shared" si="55"/>
        <v>0.41093979318304719</v>
      </c>
      <c r="O132" s="103">
        <f t="shared" si="55"/>
        <v>0.38197127736226122</v>
      </c>
      <c r="P132" s="103">
        <f t="shared" si="55"/>
        <v>0.33285454573444184</v>
      </c>
      <c r="Q132" s="103">
        <f t="shared" si="55"/>
        <v>0.27299163466805965</v>
      </c>
      <c r="R132" s="103">
        <f t="shared" si="55"/>
        <v>0.21145628697349395</v>
      </c>
      <c r="S132" s="103">
        <f t="shared" si="55"/>
        <v>0.15517107509245598</v>
      </c>
      <c r="T132" s="103">
        <f t="shared" si="55"/>
        <v>0.10817441157920316</v>
      </c>
      <c r="U132" s="103">
        <f t="shared" si="55"/>
        <v>7.1820597661152341E-2</v>
      </c>
      <c r="V132" s="103">
        <f t="shared" si="55"/>
        <v>4.5516630225017174E-2</v>
      </c>
      <c r="W132" s="103">
        <f t="shared" si="55"/>
        <v>2.7592181242406033E-2</v>
      </c>
      <c r="X132" s="103">
        <f t="shared" si="55"/>
        <v>1.6029447757931359E-2</v>
      </c>
      <c r="Y132" s="103">
        <f t="shared" si="55"/>
        <v>3.7211238164483689</v>
      </c>
      <c r="Z132" s="28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3:79">
      <c r="C133" s="71" t="s">
        <v>222</v>
      </c>
      <c r="E133" s="103">
        <f t="shared" si="55"/>
        <v>0</v>
      </c>
      <c r="F133" s="103">
        <f t="shared" si="55"/>
        <v>0</v>
      </c>
      <c r="G133" s="103">
        <f t="shared" si="55"/>
        <v>0</v>
      </c>
      <c r="H133" s="103">
        <f t="shared" si="55"/>
        <v>0</v>
      </c>
      <c r="I133" s="103">
        <f t="shared" si="55"/>
        <v>0</v>
      </c>
      <c r="J133" s="103">
        <f t="shared" si="55"/>
        <v>0</v>
      </c>
      <c r="K133" s="103">
        <f t="shared" si="55"/>
        <v>0</v>
      </c>
      <c r="L133" s="103">
        <f t="shared" si="55"/>
        <v>0</v>
      </c>
      <c r="M133" s="103">
        <f t="shared" si="55"/>
        <v>0</v>
      </c>
      <c r="N133" s="103">
        <f t="shared" si="55"/>
        <v>0</v>
      </c>
      <c r="O133" s="103">
        <f t="shared" si="55"/>
        <v>0</v>
      </c>
      <c r="P133" s="103">
        <f t="shared" si="55"/>
        <v>0</v>
      </c>
      <c r="Q133" s="103">
        <f t="shared" si="55"/>
        <v>0</v>
      </c>
      <c r="R133" s="103">
        <f t="shared" si="55"/>
        <v>0</v>
      </c>
      <c r="S133" s="103">
        <f t="shared" si="55"/>
        <v>0</v>
      </c>
      <c r="T133" s="103">
        <f t="shared" si="55"/>
        <v>0</v>
      </c>
      <c r="U133" s="103">
        <f t="shared" si="55"/>
        <v>0</v>
      </c>
      <c r="V133" s="103">
        <f t="shared" si="55"/>
        <v>0</v>
      </c>
      <c r="W133" s="103">
        <f t="shared" si="55"/>
        <v>0</v>
      </c>
      <c r="X133" s="103">
        <f t="shared" si="55"/>
        <v>0</v>
      </c>
      <c r="Y133" s="103">
        <f t="shared" si="55"/>
        <v>0</v>
      </c>
      <c r="Z133" s="282"/>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3:79">
      <c r="C134" s="71" t="s">
        <v>225</v>
      </c>
      <c r="E134" s="103">
        <f t="shared" si="55"/>
        <v>0</v>
      </c>
      <c r="F134" s="103">
        <f t="shared" si="55"/>
        <v>0</v>
      </c>
      <c r="G134" s="103">
        <f t="shared" si="55"/>
        <v>0</v>
      </c>
      <c r="H134" s="103">
        <f t="shared" si="55"/>
        <v>0</v>
      </c>
      <c r="I134" s="103">
        <f t="shared" si="55"/>
        <v>0</v>
      </c>
      <c r="J134" s="103">
        <f t="shared" si="55"/>
        <v>0</v>
      </c>
      <c r="K134" s="103">
        <f t="shared" si="55"/>
        <v>0</v>
      </c>
      <c r="L134" s="103">
        <f t="shared" si="55"/>
        <v>0</v>
      </c>
      <c r="M134" s="103">
        <f t="shared" si="55"/>
        <v>0</v>
      </c>
      <c r="N134" s="103">
        <f t="shared" si="55"/>
        <v>0</v>
      </c>
      <c r="O134" s="103">
        <f t="shared" si="55"/>
        <v>0</v>
      </c>
      <c r="P134" s="103">
        <f t="shared" si="55"/>
        <v>0</v>
      </c>
      <c r="Q134" s="103">
        <f t="shared" si="55"/>
        <v>0</v>
      </c>
      <c r="R134" s="103">
        <f t="shared" si="55"/>
        <v>0</v>
      </c>
      <c r="S134" s="103">
        <f t="shared" si="55"/>
        <v>0</v>
      </c>
      <c r="T134" s="103">
        <f t="shared" si="55"/>
        <v>0</v>
      </c>
      <c r="U134" s="103">
        <f t="shared" si="55"/>
        <v>0</v>
      </c>
      <c r="V134" s="103">
        <f t="shared" si="55"/>
        <v>0</v>
      </c>
      <c r="W134" s="103">
        <f t="shared" si="55"/>
        <v>0</v>
      </c>
      <c r="X134" s="103">
        <f t="shared" si="55"/>
        <v>0</v>
      </c>
      <c r="Y134" s="103">
        <f t="shared" si="55"/>
        <v>0</v>
      </c>
      <c r="Z134" s="282"/>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3:79">
      <c r="C135" s="71" t="s">
        <v>228</v>
      </c>
      <c r="E135" s="103">
        <f t="shared" si="55"/>
        <v>0</v>
      </c>
      <c r="F135" s="103">
        <f t="shared" si="55"/>
        <v>0</v>
      </c>
      <c r="G135" s="103">
        <f t="shared" si="55"/>
        <v>0</v>
      </c>
      <c r="H135" s="103">
        <f t="shared" si="55"/>
        <v>0</v>
      </c>
      <c r="I135" s="103">
        <f t="shared" si="55"/>
        <v>0</v>
      </c>
      <c r="J135" s="103">
        <f t="shared" si="55"/>
        <v>0</v>
      </c>
      <c r="K135" s="103">
        <f t="shared" si="55"/>
        <v>0</v>
      </c>
      <c r="L135" s="103">
        <f t="shared" si="55"/>
        <v>0</v>
      </c>
      <c r="M135" s="103">
        <f t="shared" si="55"/>
        <v>0</v>
      </c>
      <c r="N135" s="103">
        <f t="shared" si="55"/>
        <v>0</v>
      </c>
      <c r="O135" s="103">
        <f t="shared" si="55"/>
        <v>0</v>
      </c>
      <c r="P135" s="103">
        <f t="shared" si="55"/>
        <v>0</v>
      </c>
      <c r="Q135" s="103">
        <f t="shared" si="55"/>
        <v>0</v>
      </c>
      <c r="R135" s="103">
        <f t="shared" si="55"/>
        <v>0</v>
      </c>
      <c r="S135" s="103">
        <f t="shared" si="55"/>
        <v>0</v>
      </c>
      <c r="T135" s="103">
        <f t="shared" si="55"/>
        <v>0</v>
      </c>
      <c r="U135" s="103">
        <f t="shared" si="55"/>
        <v>0</v>
      </c>
      <c r="V135" s="103">
        <f t="shared" si="55"/>
        <v>0</v>
      </c>
      <c r="W135" s="103">
        <f t="shared" si="55"/>
        <v>0</v>
      </c>
      <c r="X135" s="103">
        <f t="shared" si="55"/>
        <v>0</v>
      </c>
      <c r="Y135" s="103">
        <f t="shared" si="55"/>
        <v>0</v>
      </c>
      <c r="Z135" s="282"/>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3:79">
      <c r="C136" s="71" t="s">
        <v>231</v>
      </c>
      <c r="E136" s="103">
        <f t="shared" si="55"/>
        <v>0</v>
      </c>
      <c r="F136" s="103">
        <f t="shared" si="55"/>
        <v>0</v>
      </c>
      <c r="G136" s="103">
        <f t="shared" si="55"/>
        <v>0</v>
      </c>
      <c r="H136" s="103">
        <f t="shared" ref="H136:Y136" si="56">H99-H98</f>
        <v>0</v>
      </c>
      <c r="I136" s="103">
        <f t="shared" si="56"/>
        <v>0</v>
      </c>
      <c r="J136" s="103">
        <f t="shared" si="56"/>
        <v>0</v>
      </c>
      <c r="K136" s="103">
        <f t="shared" si="56"/>
        <v>0</v>
      </c>
      <c r="L136" s="103">
        <f t="shared" si="56"/>
        <v>0</v>
      </c>
      <c r="M136" s="103">
        <f t="shared" si="56"/>
        <v>0</v>
      </c>
      <c r="N136" s="103">
        <f t="shared" si="56"/>
        <v>0</v>
      </c>
      <c r="O136" s="103">
        <f t="shared" si="56"/>
        <v>0</v>
      </c>
      <c r="P136" s="103">
        <f t="shared" si="56"/>
        <v>0</v>
      </c>
      <c r="Q136" s="103">
        <f t="shared" si="56"/>
        <v>0</v>
      </c>
      <c r="R136" s="103">
        <f t="shared" si="56"/>
        <v>0</v>
      </c>
      <c r="S136" s="103">
        <f t="shared" si="56"/>
        <v>0</v>
      </c>
      <c r="T136" s="103">
        <f t="shared" si="56"/>
        <v>0</v>
      </c>
      <c r="U136" s="103">
        <f t="shared" si="56"/>
        <v>0</v>
      </c>
      <c r="V136" s="103">
        <f t="shared" si="56"/>
        <v>0</v>
      </c>
      <c r="W136" s="103">
        <f t="shared" si="56"/>
        <v>0</v>
      </c>
      <c r="X136" s="103">
        <f t="shared" si="56"/>
        <v>0</v>
      </c>
      <c r="Y136" s="103">
        <f t="shared" si="56"/>
        <v>0</v>
      </c>
      <c r="Z136" s="282"/>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3:79">
      <c r="C137" s="71" t="s">
        <v>234</v>
      </c>
      <c r="E137" s="103">
        <f t="shared" ref="E137:Y149" si="57">E100-E99</f>
        <v>0</v>
      </c>
      <c r="F137" s="103">
        <f t="shared" si="57"/>
        <v>0</v>
      </c>
      <c r="G137" s="103">
        <f t="shared" si="57"/>
        <v>0</v>
      </c>
      <c r="H137" s="103">
        <f t="shared" si="57"/>
        <v>0</v>
      </c>
      <c r="I137" s="103">
        <f t="shared" si="57"/>
        <v>0</v>
      </c>
      <c r="J137" s="103">
        <f t="shared" si="57"/>
        <v>0</v>
      </c>
      <c r="K137" s="103">
        <f t="shared" si="57"/>
        <v>0</v>
      </c>
      <c r="L137" s="103">
        <f t="shared" si="57"/>
        <v>0</v>
      </c>
      <c r="M137" s="103">
        <f t="shared" si="57"/>
        <v>0</v>
      </c>
      <c r="N137" s="103">
        <f t="shared" si="57"/>
        <v>0</v>
      </c>
      <c r="O137" s="103">
        <f t="shared" si="57"/>
        <v>0</v>
      </c>
      <c r="P137" s="103">
        <f t="shared" si="57"/>
        <v>0</v>
      </c>
      <c r="Q137" s="103">
        <f t="shared" si="57"/>
        <v>0</v>
      </c>
      <c r="R137" s="103">
        <f t="shared" si="57"/>
        <v>0</v>
      </c>
      <c r="S137" s="103">
        <f t="shared" si="57"/>
        <v>0</v>
      </c>
      <c r="T137" s="103">
        <f t="shared" si="57"/>
        <v>0</v>
      </c>
      <c r="U137" s="103">
        <f t="shared" si="57"/>
        <v>0</v>
      </c>
      <c r="V137" s="103">
        <f t="shared" si="57"/>
        <v>0</v>
      </c>
      <c r="W137" s="103">
        <f t="shared" si="57"/>
        <v>0</v>
      </c>
      <c r="X137" s="103">
        <f t="shared" si="57"/>
        <v>0</v>
      </c>
      <c r="Y137" s="103">
        <f t="shared" si="57"/>
        <v>0</v>
      </c>
      <c r="Z137" s="282"/>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3:79">
      <c r="C138" s="71" t="s">
        <v>237</v>
      </c>
      <c r="E138" s="103">
        <f t="shared" si="57"/>
        <v>0</v>
      </c>
      <c r="F138" s="103">
        <f t="shared" si="57"/>
        <v>0</v>
      </c>
      <c r="G138" s="103">
        <f t="shared" si="57"/>
        <v>0</v>
      </c>
      <c r="H138" s="103">
        <f t="shared" si="57"/>
        <v>0</v>
      </c>
      <c r="I138" s="103">
        <f t="shared" si="57"/>
        <v>0</v>
      </c>
      <c r="J138" s="103">
        <f t="shared" si="57"/>
        <v>0</v>
      </c>
      <c r="K138" s="103">
        <f t="shared" si="57"/>
        <v>0</v>
      </c>
      <c r="L138" s="103">
        <f t="shared" si="57"/>
        <v>0</v>
      </c>
      <c r="M138" s="103">
        <f t="shared" si="57"/>
        <v>0</v>
      </c>
      <c r="N138" s="103">
        <f t="shared" si="57"/>
        <v>0</v>
      </c>
      <c r="O138" s="103">
        <f t="shared" si="57"/>
        <v>0</v>
      </c>
      <c r="P138" s="103">
        <f t="shared" si="57"/>
        <v>0</v>
      </c>
      <c r="Q138" s="103">
        <f t="shared" si="57"/>
        <v>0</v>
      </c>
      <c r="R138" s="103">
        <f t="shared" si="57"/>
        <v>0</v>
      </c>
      <c r="S138" s="103">
        <f t="shared" si="57"/>
        <v>0</v>
      </c>
      <c r="T138" s="103">
        <f t="shared" si="57"/>
        <v>0</v>
      </c>
      <c r="U138" s="103">
        <f t="shared" si="57"/>
        <v>0</v>
      </c>
      <c r="V138" s="103">
        <f t="shared" si="57"/>
        <v>0</v>
      </c>
      <c r="W138" s="103">
        <f t="shared" si="57"/>
        <v>0</v>
      </c>
      <c r="X138" s="103">
        <f t="shared" si="57"/>
        <v>0</v>
      </c>
      <c r="Y138" s="103">
        <f t="shared" si="57"/>
        <v>0</v>
      </c>
      <c r="Z138" s="282"/>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3:79">
      <c r="C139" s="71" t="s">
        <v>240</v>
      </c>
      <c r="E139" s="103">
        <f t="shared" si="57"/>
        <v>0</v>
      </c>
      <c r="F139" s="103">
        <f t="shared" si="57"/>
        <v>0</v>
      </c>
      <c r="G139" s="103">
        <f t="shared" si="57"/>
        <v>0</v>
      </c>
      <c r="H139" s="103">
        <f t="shared" si="57"/>
        <v>0</v>
      </c>
      <c r="I139" s="103">
        <f t="shared" si="57"/>
        <v>0</v>
      </c>
      <c r="J139" s="103">
        <f t="shared" si="57"/>
        <v>0</v>
      </c>
      <c r="K139" s="103">
        <f t="shared" si="57"/>
        <v>0</v>
      </c>
      <c r="L139" s="103">
        <f t="shared" si="57"/>
        <v>0</v>
      </c>
      <c r="M139" s="103">
        <f t="shared" si="57"/>
        <v>0</v>
      </c>
      <c r="N139" s="103">
        <f t="shared" si="57"/>
        <v>0</v>
      </c>
      <c r="O139" s="103">
        <f t="shared" si="57"/>
        <v>0</v>
      </c>
      <c r="P139" s="103">
        <f t="shared" si="57"/>
        <v>0</v>
      </c>
      <c r="Q139" s="103">
        <f t="shared" si="57"/>
        <v>0</v>
      </c>
      <c r="R139" s="103">
        <f t="shared" si="57"/>
        <v>0</v>
      </c>
      <c r="S139" s="103">
        <f t="shared" si="57"/>
        <v>0</v>
      </c>
      <c r="T139" s="103">
        <f t="shared" si="57"/>
        <v>0</v>
      </c>
      <c r="U139" s="103">
        <f t="shared" si="57"/>
        <v>0</v>
      </c>
      <c r="V139" s="103">
        <f t="shared" si="57"/>
        <v>0</v>
      </c>
      <c r="W139" s="103">
        <f t="shared" si="57"/>
        <v>0</v>
      </c>
      <c r="X139" s="103">
        <f t="shared" si="57"/>
        <v>0</v>
      </c>
      <c r="Y139" s="103">
        <f t="shared" si="57"/>
        <v>0</v>
      </c>
      <c r="Z139" s="282"/>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3:79">
      <c r="C140" s="71" t="s">
        <v>243</v>
      </c>
      <c r="E140" s="103">
        <f t="shared" si="57"/>
        <v>0</v>
      </c>
      <c r="F140" s="103">
        <f t="shared" si="57"/>
        <v>0</v>
      </c>
      <c r="G140" s="103">
        <f t="shared" si="57"/>
        <v>0</v>
      </c>
      <c r="H140" s="103">
        <f t="shared" si="57"/>
        <v>0</v>
      </c>
      <c r="I140" s="103">
        <f t="shared" si="57"/>
        <v>0</v>
      </c>
      <c r="J140" s="103">
        <f t="shared" si="57"/>
        <v>0</v>
      </c>
      <c r="K140" s="103">
        <f t="shared" si="57"/>
        <v>0</v>
      </c>
      <c r="L140" s="103">
        <f t="shared" si="57"/>
        <v>0</v>
      </c>
      <c r="M140" s="103">
        <f t="shared" si="57"/>
        <v>0</v>
      </c>
      <c r="N140" s="103">
        <f t="shared" si="57"/>
        <v>0</v>
      </c>
      <c r="O140" s="103">
        <f t="shared" si="57"/>
        <v>0</v>
      </c>
      <c r="P140" s="103">
        <f t="shared" si="57"/>
        <v>0</v>
      </c>
      <c r="Q140" s="103">
        <f t="shared" si="57"/>
        <v>0</v>
      </c>
      <c r="R140" s="103">
        <f t="shared" si="57"/>
        <v>0</v>
      </c>
      <c r="S140" s="103">
        <f t="shared" si="57"/>
        <v>0</v>
      </c>
      <c r="T140" s="103">
        <f t="shared" si="57"/>
        <v>0</v>
      </c>
      <c r="U140" s="103">
        <f t="shared" si="57"/>
        <v>0</v>
      </c>
      <c r="V140" s="103">
        <f t="shared" si="57"/>
        <v>0</v>
      </c>
      <c r="W140" s="103">
        <f t="shared" si="57"/>
        <v>0</v>
      </c>
      <c r="X140" s="103">
        <f t="shared" si="57"/>
        <v>0</v>
      </c>
      <c r="Y140" s="103">
        <f t="shared" si="57"/>
        <v>0</v>
      </c>
      <c r="Z140" s="282"/>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3:79">
      <c r="C141" s="71" t="s">
        <v>246</v>
      </c>
      <c r="E141" s="103">
        <f t="shared" si="57"/>
        <v>0</v>
      </c>
      <c r="F141" s="103">
        <f t="shared" si="57"/>
        <v>0</v>
      </c>
      <c r="G141" s="103">
        <f t="shared" si="57"/>
        <v>0</v>
      </c>
      <c r="H141" s="103">
        <f t="shared" si="57"/>
        <v>0</v>
      </c>
      <c r="I141" s="103">
        <f t="shared" si="57"/>
        <v>0</v>
      </c>
      <c r="J141" s="103">
        <f t="shared" si="57"/>
        <v>0</v>
      </c>
      <c r="K141" s="103">
        <f t="shared" si="57"/>
        <v>0</v>
      </c>
      <c r="L141" s="103">
        <f t="shared" si="57"/>
        <v>0</v>
      </c>
      <c r="M141" s="103">
        <f t="shared" si="57"/>
        <v>0</v>
      </c>
      <c r="N141" s="103">
        <f t="shared" si="57"/>
        <v>0</v>
      </c>
      <c r="O141" s="103">
        <f t="shared" si="57"/>
        <v>0</v>
      </c>
      <c r="P141" s="103">
        <f t="shared" si="57"/>
        <v>0</v>
      </c>
      <c r="Q141" s="103">
        <f t="shared" si="57"/>
        <v>0</v>
      </c>
      <c r="R141" s="103">
        <f t="shared" si="57"/>
        <v>0</v>
      </c>
      <c r="S141" s="103">
        <f t="shared" si="57"/>
        <v>0</v>
      </c>
      <c r="T141" s="103">
        <f t="shared" si="57"/>
        <v>0</v>
      </c>
      <c r="U141" s="103">
        <f t="shared" si="57"/>
        <v>0</v>
      </c>
      <c r="V141" s="103">
        <f t="shared" si="57"/>
        <v>0</v>
      </c>
      <c r="W141" s="103">
        <f t="shared" si="57"/>
        <v>0</v>
      </c>
      <c r="X141" s="103">
        <f t="shared" si="57"/>
        <v>0</v>
      </c>
      <c r="Y141" s="103">
        <f t="shared" si="57"/>
        <v>0</v>
      </c>
      <c r="Z141" s="282"/>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3:79">
      <c r="C142" s="71" t="s">
        <v>249</v>
      </c>
      <c r="E142" s="103">
        <f t="shared" si="57"/>
        <v>0</v>
      </c>
      <c r="F142" s="103">
        <f t="shared" si="57"/>
        <v>0</v>
      </c>
      <c r="G142" s="103">
        <f t="shared" si="57"/>
        <v>0</v>
      </c>
      <c r="H142" s="103">
        <f t="shared" si="57"/>
        <v>0</v>
      </c>
      <c r="I142" s="103">
        <f t="shared" si="57"/>
        <v>0</v>
      </c>
      <c r="J142" s="103">
        <f t="shared" si="57"/>
        <v>0</v>
      </c>
      <c r="K142" s="103">
        <f t="shared" si="57"/>
        <v>0</v>
      </c>
      <c r="L142" s="103">
        <f t="shared" si="57"/>
        <v>0</v>
      </c>
      <c r="M142" s="103">
        <f t="shared" si="57"/>
        <v>0</v>
      </c>
      <c r="N142" s="103">
        <f t="shared" si="57"/>
        <v>0</v>
      </c>
      <c r="O142" s="103">
        <f t="shared" si="57"/>
        <v>0</v>
      </c>
      <c r="P142" s="103">
        <f t="shared" si="57"/>
        <v>0</v>
      </c>
      <c r="Q142" s="103">
        <f t="shared" si="57"/>
        <v>0</v>
      </c>
      <c r="R142" s="103">
        <f t="shared" si="57"/>
        <v>0</v>
      </c>
      <c r="S142" s="103">
        <f t="shared" si="57"/>
        <v>0</v>
      </c>
      <c r="T142" s="103">
        <f t="shared" si="57"/>
        <v>0</v>
      </c>
      <c r="U142" s="103">
        <f t="shared" si="57"/>
        <v>0</v>
      </c>
      <c r="V142" s="103">
        <f t="shared" si="57"/>
        <v>0</v>
      </c>
      <c r="W142" s="103">
        <f t="shared" si="57"/>
        <v>0</v>
      </c>
      <c r="X142" s="103">
        <f t="shared" si="57"/>
        <v>0</v>
      </c>
      <c r="Y142" s="103">
        <f t="shared" si="57"/>
        <v>0</v>
      </c>
      <c r="Z142" s="28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3:79">
      <c r="C143" s="71" t="s">
        <v>252</v>
      </c>
      <c r="E143" s="103">
        <f t="shared" si="57"/>
        <v>0</v>
      </c>
      <c r="F143" s="103">
        <f t="shared" si="57"/>
        <v>0</v>
      </c>
      <c r="G143" s="103">
        <f t="shared" si="57"/>
        <v>0</v>
      </c>
      <c r="H143" s="103">
        <f t="shared" si="57"/>
        <v>0</v>
      </c>
      <c r="I143" s="103">
        <f t="shared" si="57"/>
        <v>0</v>
      </c>
      <c r="J143" s="103">
        <f t="shared" si="57"/>
        <v>0</v>
      </c>
      <c r="K143" s="103">
        <f t="shared" si="57"/>
        <v>0</v>
      </c>
      <c r="L143" s="103">
        <f t="shared" si="57"/>
        <v>0</v>
      </c>
      <c r="M143" s="103">
        <f t="shared" si="57"/>
        <v>0</v>
      </c>
      <c r="N143" s="103">
        <f t="shared" si="57"/>
        <v>0</v>
      </c>
      <c r="O143" s="103">
        <f t="shared" si="57"/>
        <v>0</v>
      </c>
      <c r="P143" s="103">
        <f t="shared" si="57"/>
        <v>0</v>
      </c>
      <c r="Q143" s="103">
        <f t="shared" si="57"/>
        <v>0</v>
      </c>
      <c r="R143" s="103">
        <f t="shared" si="57"/>
        <v>0</v>
      </c>
      <c r="S143" s="103">
        <f t="shared" si="57"/>
        <v>0</v>
      </c>
      <c r="T143" s="103">
        <f t="shared" si="57"/>
        <v>0</v>
      </c>
      <c r="U143" s="103">
        <f t="shared" si="57"/>
        <v>0</v>
      </c>
      <c r="V143" s="103">
        <f t="shared" si="57"/>
        <v>0</v>
      </c>
      <c r="W143" s="103">
        <f t="shared" si="57"/>
        <v>0</v>
      </c>
      <c r="X143" s="103">
        <f t="shared" si="57"/>
        <v>0</v>
      </c>
      <c r="Y143" s="103">
        <f t="shared" si="57"/>
        <v>0</v>
      </c>
      <c r="Z143" s="282"/>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3:79">
      <c r="C144" s="71" t="s">
        <v>255</v>
      </c>
      <c r="E144" s="103">
        <f t="shared" si="57"/>
        <v>0</v>
      </c>
      <c r="F144" s="103">
        <f t="shared" si="57"/>
        <v>0</v>
      </c>
      <c r="G144" s="103">
        <f t="shared" si="57"/>
        <v>0</v>
      </c>
      <c r="H144" s="103">
        <f t="shared" si="57"/>
        <v>0</v>
      </c>
      <c r="I144" s="103">
        <f t="shared" si="57"/>
        <v>0</v>
      </c>
      <c r="J144" s="103">
        <f t="shared" si="57"/>
        <v>0</v>
      </c>
      <c r="K144" s="103">
        <f t="shared" si="57"/>
        <v>0</v>
      </c>
      <c r="L144" s="103">
        <f t="shared" si="57"/>
        <v>0</v>
      </c>
      <c r="M144" s="103">
        <f t="shared" si="57"/>
        <v>0</v>
      </c>
      <c r="N144" s="103">
        <f t="shared" si="57"/>
        <v>0</v>
      </c>
      <c r="O144" s="103">
        <f t="shared" si="57"/>
        <v>0</v>
      </c>
      <c r="P144" s="103">
        <f t="shared" si="57"/>
        <v>0</v>
      </c>
      <c r="Q144" s="103">
        <f t="shared" si="57"/>
        <v>0</v>
      </c>
      <c r="R144" s="103">
        <f t="shared" si="57"/>
        <v>0</v>
      </c>
      <c r="S144" s="103">
        <f t="shared" si="57"/>
        <v>0</v>
      </c>
      <c r="T144" s="103">
        <f t="shared" si="57"/>
        <v>0</v>
      </c>
      <c r="U144" s="103">
        <f t="shared" si="57"/>
        <v>0</v>
      </c>
      <c r="V144" s="103">
        <f t="shared" si="57"/>
        <v>0</v>
      </c>
      <c r="W144" s="103">
        <f t="shared" si="57"/>
        <v>0</v>
      </c>
      <c r="X144" s="103">
        <f t="shared" si="57"/>
        <v>0</v>
      </c>
      <c r="Y144" s="103">
        <f t="shared" si="57"/>
        <v>0</v>
      </c>
      <c r="Z144" s="282"/>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3:79">
      <c r="C145" s="71" t="s">
        <v>258</v>
      </c>
      <c r="E145" s="103">
        <f t="shared" si="57"/>
        <v>0</v>
      </c>
      <c r="F145" s="103">
        <f t="shared" si="57"/>
        <v>0</v>
      </c>
      <c r="G145" s="103">
        <f t="shared" si="57"/>
        <v>0</v>
      </c>
      <c r="H145" s="103">
        <f t="shared" si="57"/>
        <v>0</v>
      </c>
      <c r="I145" s="103">
        <f t="shared" si="57"/>
        <v>0</v>
      </c>
      <c r="J145" s="103">
        <f t="shared" si="57"/>
        <v>0</v>
      </c>
      <c r="K145" s="103">
        <f t="shared" si="57"/>
        <v>0</v>
      </c>
      <c r="L145" s="103">
        <f t="shared" si="57"/>
        <v>0</v>
      </c>
      <c r="M145" s="103">
        <f t="shared" si="57"/>
        <v>0</v>
      </c>
      <c r="N145" s="103">
        <f t="shared" si="57"/>
        <v>0</v>
      </c>
      <c r="O145" s="103">
        <f t="shared" si="57"/>
        <v>0</v>
      </c>
      <c r="P145" s="103">
        <f t="shared" si="57"/>
        <v>0</v>
      </c>
      <c r="Q145" s="103">
        <f t="shared" si="57"/>
        <v>0</v>
      </c>
      <c r="R145" s="103">
        <f t="shared" si="57"/>
        <v>0</v>
      </c>
      <c r="S145" s="103">
        <f t="shared" si="57"/>
        <v>0</v>
      </c>
      <c r="T145" s="103">
        <f t="shared" si="57"/>
        <v>0</v>
      </c>
      <c r="U145" s="103">
        <f t="shared" si="57"/>
        <v>0</v>
      </c>
      <c r="V145" s="103">
        <f t="shared" si="57"/>
        <v>0</v>
      </c>
      <c r="W145" s="103">
        <f t="shared" si="57"/>
        <v>0</v>
      </c>
      <c r="X145" s="103">
        <f t="shared" si="57"/>
        <v>0</v>
      </c>
      <c r="Y145" s="103">
        <f t="shared" si="57"/>
        <v>0</v>
      </c>
      <c r="Z145" s="282"/>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3:79">
      <c r="C146" s="71" t="s">
        <v>261</v>
      </c>
      <c r="E146" s="103">
        <f t="shared" si="57"/>
        <v>0</v>
      </c>
      <c r="F146" s="103">
        <f t="shared" si="57"/>
        <v>0</v>
      </c>
      <c r="G146" s="103">
        <f t="shared" si="57"/>
        <v>0</v>
      </c>
      <c r="H146" s="103">
        <f t="shared" si="57"/>
        <v>0</v>
      </c>
      <c r="I146" s="103">
        <f t="shared" si="57"/>
        <v>0</v>
      </c>
      <c r="J146" s="103">
        <f t="shared" si="57"/>
        <v>0</v>
      </c>
      <c r="K146" s="103">
        <f t="shared" si="57"/>
        <v>0</v>
      </c>
      <c r="L146" s="103">
        <f t="shared" si="57"/>
        <v>0</v>
      </c>
      <c r="M146" s="103">
        <f t="shared" si="57"/>
        <v>0</v>
      </c>
      <c r="N146" s="103">
        <f t="shared" si="57"/>
        <v>0</v>
      </c>
      <c r="O146" s="103">
        <f t="shared" si="57"/>
        <v>0</v>
      </c>
      <c r="P146" s="103">
        <f t="shared" si="57"/>
        <v>0</v>
      </c>
      <c r="Q146" s="103">
        <f t="shared" si="57"/>
        <v>0</v>
      </c>
      <c r="R146" s="103">
        <f t="shared" si="57"/>
        <v>0</v>
      </c>
      <c r="S146" s="103">
        <f t="shared" si="57"/>
        <v>0</v>
      </c>
      <c r="T146" s="103">
        <f t="shared" si="57"/>
        <v>0</v>
      </c>
      <c r="U146" s="103">
        <f t="shared" si="57"/>
        <v>0</v>
      </c>
      <c r="V146" s="103">
        <f t="shared" si="57"/>
        <v>0</v>
      </c>
      <c r="W146" s="103">
        <f t="shared" si="57"/>
        <v>0</v>
      </c>
      <c r="X146" s="103">
        <f t="shared" si="57"/>
        <v>0</v>
      </c>
      <c r="Y146" s="103">
        <f t="shared" si="57"/>
        <v>0</v>
      </c>
      <c r="Z146" s="282"/>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3:79">
      <c r="C147" s="71" t="s">
        <v>264</v>
      </c>
      <c r="E147" s="103">
        <f t="shared" si="57"/>
        <v>0</v>
      </c>
      <c r="F147" s="103">
        <f t="shared" si="57"/>
        <v>0</v>
      </c>
      <c r="G147" s="103">
        <f t="shared" si="57"/>
        <v>0</v>
      </c>
      <c r="H147" s="103">
        <f t="shared" si="57"/>
        <v>0</v>
      </c>
      <c r="I147" s="103">
        <f t="shared" si="57"/>
        <v>0</v>
      </c>
      <c r="J147" s="103">
        <f t="shared" si="57"/>
        <v>0</v>
      </c>
      <c r="K147" s="103">
        <f t="shared" si="57"/>
        <v>0</v>
      </c>
      <c r="L147" s="103">
        <f t="shared" si="57"/>
        <v>0</v>
      </c>
      <c r="M147" s="103">
        <f t="shared" si="57"/>
        <v>0</v>
      </c>
      <c r="N147" s="103">
        <f t="shared" si="57"/>
        <v>0</v>
      </c>
      <c r="O147" s="103">
        <f t="shared" si="57"/>
        <v>0</v>
      </c>
      <c r="P147" s="103">
        <f t="shared" si="57"/>
        <v>0</v>
      </c>
      <c r="Q147" s="103">
        <f t="shared" si="57"/>
        <v>0</v>
      </c>
      <c r="R147" s="103">
        <f t="shared" si="57"/>
        <v>0</v>
      </c>
      <c r="S147" s="103">
        <f t="shared" si="57"/>
        <v>0</v>
      </c>
      <c r="T147" s="103">
        <f t="shared" si="57"/>
        <v>0</v>
      </c>
      <c r="U147" s="103">
        <f t="shared" si="57"/>
        <v>0</v>
      </c>
      <c r="V147" s="103">
        <f t="shared" si="57"/>
        <v>0</v>
      </c>
      <c r="W147" s="103">
        <f t="shared" si="57"/>
        <v>0</v>
      </c>
      <c r="X147" s="103">
        <f t="shared" si="57"/>
        <v>0</v>
      </c>
      <c r="Y147" s="103">
        <f t="shared" si="57"/>
        <v>0</v>
      </c>
      <c r="Z147" s="282"/>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3:79">
      <c r="C148" s="71" t="s">
        <v>267</v>
      </c>
      <c r="E148" s="103">
        <f t="shared" si="57"/>
        <v>0</v>
      </c>
      <c r="F148" s="103">
        <f t="shared" si="57"/>
        <v>0</v>
      </c>
      <c r="G148" s="103">
        <f t="shared" si="57"/>
        <v>0</v>
      </c>
      <c r="H148" s="103">
        <f t="shared" si="57"/>
        <v>0</v>
      </c>
      <c r="I148" s="103">
        <f t="shared" si="57"/>
        <v>0</v>
      </c>
      <c r="J148" s="103">
        <f t="shared" si="57"/>
        <v>0</v>
      </c>
      <c r="K148" s="103">
        <f t="shared" si="57"/>
        <v>0</v>
      </c>
      <c r="L148" s="103">
        <f t="shared" si="57"/>
        <v>0</v>
      </c>
      <c r="M148" s="103">
        <f t="shared" si="57"/>
        <v>0</v>
      </c>
      <c r="N148" s="103">
        <f t="shared" si="57"/>
        <v>0</v>
      </c>
      <c r="O148" s="103">
        <f t="shared" si="57"/>
        <v>0</v>
      </c>
      <c r="P148" s="103">
        <f t="shared" si="57"/>
        <v>0</v>
      </c>
      <c r="Q148" s="103">
        <f t="shared" si="57"/>
        <v>0</v>
      </c>
      <c r="R148" s="103">
        <f t="shared" si="57"/>
        <v>0</v>
      </c>
      <c r="S148" s="103">
        <f t="shared" si="57"/>
        <v>0</v>
      </c>
      <c r="T148" s="103">
        <f t="shared" si="57"/>
        <v>0</v>
      </c>
      <c r="U148" s="103">
        <f t="shared" si="57"/>
        <v>0</v>
      </c>
      <c r="V148" s="103">
        <f t="shared" si="57"/>
        <v>0</v>
      </c>
      <c r="W148" s="103">
        <f t="shared" si="57"/>
        <v>0</v>
      </c>
      <c r="X148" s="103">
        <f t="shared" si="57"/>
        <v>0</v>
      </c>
      <c r="Y148" s="103">
        <f t="shared" si="57"/>
        <v>0</v>
      </c>
      <c r="Z148" s="282"/>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3:79">
      <c r="C149" s="71" t="s">
        <v>270</v>
      </c>
      <c r="E149" s="103">
        <f t="shared" si="57"/>
        <v>0</v>
      </c>
      <c r="F149" s="103">
        <f t="shared" si="57"/>
        <v>0</v>
      </c>
      <c r="G149" s="103">
        <f t="shared" si="57"/>
        <v>0</v>
      </c>
      <c r="H149" s="103">
        <f t="shared" ref="H149:Y149" si="58">H112-H111</f>
        <v>0</v>
      </c>
      <c r="I149" s="103">
        <f t="shared" si="58"/>
        <v>0</v>
      </c>
      <c r="J149" s="103">
        <f t="shared" si="58"/>
        <v>0</v>
      </c>
      <c r="K149" s="103">
        <f t="shared" si="58"/>
        <v>0</v>
      </c>
      <c r="L149" s="103">
        <f t="shared" si="58"/>
        <v>0</v>
      </c>
      <c r="M149" s="103">
        <f t="shared" si="58"/>
        <v>0</v>
      </c>
      <c r="N149" s="103">
        <f t="shared" si="58"/>
        <v>0</v>
      </c>
      <c r="O149" s="103">
        <f t="shared" si="58"/>
        <v>0</v>
      </c>
      <c r="P149" s="103">
        <f t="shared" si="58"/>
        <v>0</v>
      </c>
      <c r="Q149" s="103">
        <f t="shared" si="58"/>
        <v>0</v>
      </c>
      <c r="R149" s="103">
        <f t="shared" si="58"/>
        <v>0</v>
      </c>
      <c r="S149" s="103">
        <f t="shared" si="58"/>
        <v>0</v>
      </c>
      <c r="T149" s="103">
        <f t="shared" si="58"/>
        <v>0</v>
      </c>
      <c r="U149" s="103">
        <f t="shared" si="58"/>
        <v>0</v>
      </c>
      <c r="V149" s="103">
        <f t="shared" si="58"/>
        <v>0</v>
      </c>
      <c r="W149" s="103">
        <f t="shared" si="58"/>
        <v>0</v>
      </c>
      <c r="X149" s="103">
        <f t="shared" si="58"/>
        <v>0</v>
      </c>
      <c r="Y149" s="103">
        <f t="shared" si="58"/>
        <v>0</v>
      </c>
      <c r="Z149" s="282"/>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3:79">
      <c r="C150" s="71" t="s">
        <v>273</v>
      </c>
      <c r="E150" s="103">
        <f t="shared" ref="E150:Y154" si="59">E113-E112</f>
        <v>0</v>
      </c>
      <c r="F150" s="103">
        <f t="shared" si="59"/>
        <v>0</v>
      </c>
      <c r="G150" s="103">
        <f t="shared" si="59"/>
        <v>0</v>
      </c>
      <c r="H150" s="103">
        <f t="shared" si="59"/>
        <v>0</v>
      </c>
      <c r="I150" s="103">
        <f t="shared" si="59"/>
        <v>0</v>
      </c>
      <c r="J150" s="103">
        <f t="shared" si="59"/>
        <v>0</v>
      </c>
      <c r="K150" s="103">
        <f t="shared" si="59"/>
        <v>0</v>
      </c>
      <c r="L150" s="103">
        <f t="shared" si="59"/>
        <v>0</v>
      </c>
      <c r="M150" s="103">
        <f t="shared" si="59"/>
        <v>0</v>
      </c>
      <c r="N150" s="103">
        <f t="shared" si="59"/>
        <v>0</v>
      </c>
      <c r="O150" s="103">
        <f t="shared" si="59"/>
        <v>0</v>
      </c>
      <c r="P150" s="103">
        <f t="shared" si="59"/>
        <v>0</v>
      </c>
      <c r="Q150" s="103">
        <f t="shared" si="59"/>
        <v>0</v>
      </c>
      <c r="R150" s="103">
        <f t="shared" si="59"/>
        <v>0</v>
      </c>
      <c r="S150" s="103">
        <f t="shared" si="59"/>
        <v>0</v>
      </c>
      <c r="T150" s="103">
        <f t="shared" si="59"/>
        <v>0</v>
      </c>
      <c r="U150" s="103">
        <f t="shared" si="59"/>
        <v>0</v>
      </c>
      <c r="V150" s="103">
        <f t="shared" si="59"/>
        <v>0</v>
      </c>
      <c r="W150" s="103">
        <f t="shared" si="59"/>
        <v>0</v>
      </c>
      <c r="X150" s="103">
        <f t="shared" si="59"/>
        <v>0</v>
      </c>
      <c r="Y150" s="103">
        <f t="shared" si="59"/>
        <v>0</v>
      </c>
      <c r="Z150" s="282"/>
    </row>
    <row r="151" spans="3:79">
      <c r="C151" s="71" t="s">
        <v>276</v>
      </c>
      <c r="E151" s="103">
        <f t="shared" si="59"/>
        <v>0</v>
      </c>
      <c r="F151" s="103">
        <f t="shared" si="59"/>
        <v>0</v>
      </c>
      <c r="G151" s="103">
        <f t="shared" si="59"/>
        <v>0</v>
      </c>
      <c r="H151" s="103">
        <f t="shared" si="59"/>
        <v>0</v>
      </c>
      <c r="I151" s="103">
        <f t="shared" si="59"/>
        <v>0</v>
      </c>
      <c r="J151" s="103">
        <f t="shared" si="59"/>
        <v>0</v>
      </c>
      <c r="K151" s="103">
        <f t="shared" si="59"/>
        <v>0</v>
      </c>
      <c r="L151" s="103">
        <f t="shared" si="59"/>
        <v>0</v>
      </c>
      <c r="M151" s="103">
        <f t="shared" si="59"/>
        <v>0</v>
      </c>
      <c r="N151" s="103">
        <f t="shared" si="59"/>
        <v>0</v>
      </c>
      <c r="O151" s="103">
        <f t="shared" si="59"/>
        <v>0</v>
      </c>
      <c r="P151" s="103">
        <f t="shared" si="59"/>
        <v>0</v>
      </c>
      <c r="Q151" s="103">
        <f t="shared" si="59"/>
        <v>0</v>
      </c>
      <c r="R151" s="103">
        <f t="shared" si="59"/>
        <v>0</v>
      </c>
      <c r="S151" s="103">
        <f t="shared" si="59"/>
        <v>0</v>
      </c>
      <c r="T151" s="103">
        <f t="shared" si="59"/>
        <v>0</v>
      </c>
      <c r="U151" s="103">
        <f t="shared" si="59"/>
        <v>0</v>
      </c>
      <c r="V151" s="103">
        <f t="shared" si="59"/>
        <v>0</v>
      </c>
      <c r="W151" s="103">
        <f t="shared" si="59"/>
        <v>0</v>
      </c>
      <c r="X151" s="103">
        <f t="shared" si="59"/>
        <v>0</v>
      </c>
      <c r="Y151" s="103">
        <f t="shared" si="59"/>
        <v>0</v>
      </c>
      <c r="Z151" s="282"/>
    </row>
    <row r="152" spans="3:79">
      <c r="C152" s="71" t="s">
        <v>279</v>
      </c>
      <c r="E152" s="103">
        <f t="shared" si="59"/>
        <v>0</v>
      </c>
      <c r="F152" s="103">
        <f t="shared" si="59"/>
        <v>0</v>
      </c>
      <c r="G152" s="103">
        <f t="shared" si="59"/>
        <v>0</v>
      </c>
      <c r="H152" s="103">
        <f t="shared" si="59"/>
        <v>0</v>
      </c>
      <c r="I152" s="103">
        <f t="shared" si="59"/>
        <v>0</v>
      </c>
      <c r="J152" s="103">
        <f t="shared" si="59"/>
        <v>0</v>
      </c>
      <c r="K152" s="103">
        <f t="shared" si="59"/>
        <v>0</v>
      </c>
      <c r="L152" s="103">
        <f t="shared" si="59"/>
        <v>0</v>
      </c>
      <c r="M152" s="103">
        <f t="shared" si="59"/>
        <v>0</v>
      </c>
      <c r="N152" s="103">
        <f t="shared" si="59"/>
        <v>0</v>
      </c>
      <c r="O152" s="103">
        <f t="shared" si="59"/>
        <v>0</v>
      </c>
      <c r="P152" s="103">
        <f t="shared" si="59"/>
        <v>0</v>
      </c>
      <c r="Q152" s="103">
        <f t="shared" si="59"/>
        <v>0</v>
      </c>
      <c r="R152" s="103">
        <f t="shared" si="59"/>
        <v>0</v>
      </c>
      <c r="S152" s="103">
        <f t="shared" si="59"/>
        <v>0</v>
      </c>
      <c r="T152" s="103">
        <f t="shared" si="59"/>
        <v>0</v>
      </c>
      <c r="U152" s="103">
        <f t="shared" si="59"/>
        <v>0</v>
      </c>
      <c r="V152" s="103">
        <f t="shared" si="59"/>
        <v>0</v>
      </c>
      <c r="W152" s="103">
        <f t="shared" si="59"/>
        <v>0</v>
      </c>
      <c r="X152" s="103">
        <f t="shared" si="59"/>
        <v>0</v>
      </c>
      <c r="Y152" s="103">
        <f t="shared" si="59"/>
        <v>0</v>
      </c>
      <c r="Z152" s="282"/>
    </row>
    <row r="153" spans="3:79">
      <c r="C153" s="71" t="s">
        <v>282</v>
      </c>
      <c r="E153" s="103">
        <f t="shared" si="59"/>
        <v>0</v>
      </c>
      <c r="F153" s="103">
        <f t="shared" si="59"/>
        <v>0</v>
      </c>
      <c r="G153" s="103">
        <f t="shared" si="59"/>
        <v>0</v>
      </c>
      <c r="H153" s="103">
        <f t="shared" si="59"/>
        <v>0</v>
      </c>
      <c r="I153" s="103">
        <f t="shared" si="59"/>
        <v>0</v>
      </c>
      <c r="J153" s="103">
        <f t="shared" si="59"/>
        <v>0</v>
      </c>
      <c r="K153" s="103">
        <f t="shared" si="59"/>
        <v>0</v>
      </c>
      <c r="L153" s="103">
        <f t="shared" si="59"/>
        <v>0</v>
      </c>
      <c r="M153" s="103">
        <f t="shared" si="59"/>
        <v>0</v>
      </c>
      <c r="N153" s="103">
        <f t="shared" si="59"/>
        <v>0</v>
      </c>
      <c r="O153" s="103">
        <f t="shared" si="59"/>
        <v>0</v>
      </c>
      <c r="P153" s="103">
        <f t="shared" si="59"/>
        <v>0</v>
      </c>
      <c r="Q153" s="103">
        <f t="shared" si="59"/>
        <v>0</v>
      </c>
      <c r="R153" s="103">
        <f t="shared" si="59"/>
        <v>0</v>
      </c>
      <c r="S153" s="103">
        <f t="shared" si="59"/>
        <v>0</v>
      </c>
      <c r="T153" s="103">
        <f t="shared" si="59"/>
        <v>0</v>
      </c>
      <c r="U153" s="103">
        <f t="shared" si="59"/>
        <v>0</v>
      </c>
      <c r="V153" s="103">
        <f t="shared" si="59"/>
        <v>0</v>
      </c>
      <c r="W153" s="103">
        <f t="shared" si="59"/>
        <v>0</v>
      </c>
      <c r="X153" s="103">
        <f t="shared" si="59"/>
        <v>0</v>
      </c>
      <c r="Y153" s="103">
        <f t="shared" si="59"/>
        <v>0</v>
      </c>
      <c r="Z153" s="282"/>
    </row>
    <row r="154" spans="3:79">
      <c r="C154" s="71" t="s">
        <v>285</v>
      </c>
      <c r="E154" s="103">
        <f t="shared" si="59"/>
        <v>0</v>
      </c>
      <c r="F154" s="103">
        <f t="shared" si="59"/>
        <v>0</v>
      </c>
      <c r="G154" s="103">
        <f t="shared" si="59"/>
        <v>0</v>
      </c>
      <c r="H154" s="103">
        <f t="shared" si="59"/>
        <v>0</v>
      </c>
      <c r="I154" s="103">
        <f t="shared" si="59"/>
        <v>0</v>
      </c>
      <c r="J154" s="103">
        <f t="shared" si="59"/>
        <v>0</v>
      </c>
      <c r="K154" s="103">
        <f t="shared" si="59"/>
        <v>0</v>
      </c>
      <c r="L154" s="103">
        <f t="shared" si="59"/>
        <v>0</v>
      </c>
      <c r="M154" s="103">
        <f t="shared" si="59"/>
        <v>0</v>
      </c>
      <c r="N154" s="103">
        <f t="shared" si="59"/>
        <v>0</v>
      </c>
      <c r="O154" s="103">
        <f t="shared" si="59"/>
        <v>0</v>
      </c>
      <c r="P154" s="103">
        <f t="shared" si="59"/>
        <v>0</v>
      </c>
      <c r="Q154" s="103">
        <f t="shared" si="59"/>
        <v>0</v>
      </c>
      <c r="R154" s="103">
        <f t="shared" si="59"/>
        <v>0</v>
      </c>
      <c r="S154" s="103">
        <f t="shared" si="59"/>
        <v>0</v>
      </c>
      <c r="T154" s="103">
        <f t="shared" si="59"/>
        <v>0</v>
      </c>
      <c r="U154" s="103">
        <f t="shared" si="59"/>
        <v>0</v>
      </c>
      <c r="V154" s="103">
        <f t="shared" si="59"/>
        <v>0</v>
      </c>
      <c r="W154" s="103">
        <f t="shared" si="59"/>
        <v>0</v>
      </c>
      <c r="X154" s="103">
        <f t="shared" si="59"/>
        <v>0</v>
      </c>
      <c r="Y154" s="103">
        <f t="shared" si="59"/>
        <v>0</v>
      </c>
      <c r="Z154" s="282"/>
    </row>
    <row r="155" spans="3:79">
      <c r="E155" s="88"/>
      <c r="Z155" s="283"/>
    </row>
    <row r="156" spans="3:79" ht="15">
      <c r="C156" s="104" t="s">
        <v>290</v>
      </c>
      <c r="D156" s="105"/>
      <c r="E156" s="105">
        <f t="shared" ref="E156:X156" si="60">SUM(E123:E154)</f>
        <v>0.71877137749439846</v>
      </c>
      <c r="F156" s="105">
        <f t="shared" si="60"/>
        <v>1.1247906718079712</v>
      </c>
      <c r="G156" s="105">
        <f t="shared" si="60"/>
        <v>2.2395293997395957</v>
      </c>
      <c r="H156" s="105">
        <f t="shared" si="60"/>
        <v>3.9016734074616854</v>
      </c>
      <c r="I156" s="105">
        <f t="shared" si="60"/>
        <v>6.0421786855423907</v>
      </c>
      <c r="J156" s="105">
        <f t="shared" si="60"/>
        <v>8.4213118506112039</v>
      </c>
      <c r="K156" s="105">
        <f t="shared" si="60"/>
        <v>10.670242091780482</v>
      </c>
      <c r="L156" s="105">
        <f t="shared" si="60"/>
        <v>12.393137127413491</v>
      </c>
      <c r="M156" s="105">
        <f t="shared" si="60"/>
        <v>13.287006526463205</v>
      </c>
      <c r="N156" s="105">
        <f t="shared" si="60"/>
        <v>13.227853396909259</v>
      </c>
      <c r="O156" s="105">
        <f t="shared" si="60"/>
        <v>12.291061355217268</v>
      </c>
      <c r="P156" s="105">
        <f t="shared" si="60"/>
        <v>10.706849209804181</v>
      </c>
      <c r="Q156" s="105">
        <f t="shared" si="60"/>
        <v>8.7782117840612557</v>
      </c>
      <c r="R156" s="105">
        <f t="shared" si="60"/>
        <v>6.7971654858758788</v>
      </c>
      <c r="S156" s="105">
        <f t="shared" si="60"/>
        <v>4.9861982138959844</v>
      </c>
      <c r="T156" s="105">
        <f t="shared" si="60"/>
        <v>3.4748482153770803</v>
      </c>
      <c r="U156" s="105">
        <f t="shared" si="60"/>
        <v>2.3062895813174742</v>
      </c>
      <c r="V156" s="105">
        <f t="shared" si="60"/>
        <v>1.4611319710194397</v>
      </c>
      <c r="W156" s="105">
        <f t="shared" si="60"/>
        <v>0.88544356712897088</v>
      </c>
      <c r="X156" s="105">
        <f t="shared" si="60"/>
        <v>0.51422112523463359</v>
      </c>
      <c r="Y156" s="105"/>
      <c r="Z156" s="284"/>
    </row>
    <row r="157" spans="3:79" ht="15">
      <c r="C157" s="104" t="s">
        <v>291</v>
      </c>
      <c r="D157" s="105"/>
      <c r="E157" s="105">
        <f t="shared" ref="E157:X157" si="61">D157+E156</f>
        <v>0.71877137749439846</v>
      </c>
      <c r="F157" s="105">
        <f t="shared" si="61"/>
        <v>1.8435620493023697</v>
      </c>
      <c r="G157" s="105">
        <f t="shared" si="61"/>
        <v>4.0830914490419659</v>
      </c>
      <c r="H157" s="105">
        <f t="shared" si="61"/>
        <v>7.9847648565036513</v>
      </c>
      <c r="I157" s="105">
        <f t="shared" si="61"/>
        <v>14.026943542046041</v>
      </c>
      <c r="J157" s="105">
        <f t="shared" si="61"/>
        <v>22.448255392657245</v>
      </c>
      <c r="K157" s="105">
        <f t="shared" si="61"/>
        <v>33.118497484437725</v>
      </c>
      <c r="L157" s="105">
        <f t="shared" si="61"/>
        <v>45.511634611851214</v>
      </c>
      <c r="M157" s="105">
        <f t="shared" si="61"/>
        <v>58.798641138314423</v>
      </c>
      <c r="N157" s="105">
        <f t="shared" si="61"/>
        <v>72.026494535223677</v>
      </c>
      <c r="O157" s="105">
        <f t="shared" si="61"/>
        <v>84.317555890440943</v>
      </c>
      <c r="P157" s="105">
        <f t="shared" si="61"/>
        <v>95.024405100245119</v>
      </c>
      <c r="Q157" s="105">
        <f t="shared" si="61"/>
        <v>103.80261688430637</v>
      </c>
      <c r="R157" s="105">
        <f t="shared" si="61"/>
        <v>110.59978237018225</v>
      </c>
      <c r="S157" s="105">
        <f t="shared" si="61"/>
        <v>115.58598058407824</v>
      </c>
      <c r="T157" s="105">
        <f t="shared" si="61"/>
        <v>119.06082879945532</v>
      </c>
      <c r="U157" s="105">
        <f t="shared" si="61"/>
        <v>121.36711838077279</v>
      </c>
      <c r="V157" s="105">
        <f t="shared" si="61"/>
        <v>122.82825035179224</v>
      </c>
      <c r="W157" s="105">
        <f t="shared" si="61"/>
        <v>123.71369391892121</v>
      </c>
      <c r="X157" s="105">
        <f t="shared" si="61"/>
        <v>124.22791504415584</v>
      </c>
      <c r="Y157" s="105">
        <f>SUM(Y123:Y154)</f>
        <v>119.37282587197582</v>
      </c>
      <c r="Z157" s="284"/>
    </row>
    <row r="159" spans="3:79">
      <c r="C159" s="293" t="s">
        <v>696</v>
      </c>
      <c r="D159" s="294" t="str">
        <f>D35</f>
        <v>Retro3Slow</v>
      </c>
      <c r="E159" s="292">
        <f>E35</f>
        <v>5.5320496977002724E-3</v>
      </c>
      <c r="F159" s="292">
        <f t="shared" ref="F159:X159" si="62">F35</f>
        <v>8.6958686465615706E-3</v>
      </c>
      <c r="G159" s="292">
        <f t="shared" si="62"/>
        <v>1.7391737293123145E-2</v>
      </c>
      <c r="H159" s="292">
        <f t="shared" si="62"/>
        <v>3.0435540262965514E-2</v>
      </c>
      <c r="I159" s="292">
        <f t="shared" si="62"/>
        <v>4.7344173742390784E-2</v>
      </c>
      <c r="J159" s="292">
        <f t="shared" si="62"/>
        <v>6.6281843239347063E-2</v>
      </c>
      <c r="K159" s="292">
        <f t="shared" si="62"/>
        <v>8.4358709577350838E-2</v>
      </c>
      <c r="L159" s="292">
        <f t="shared" si="62"/>
        <v>9.8418494506909315E-2</v>
      </c>
      <c r="M159" s="292">
        <f t="shared" si="62"/>
        <v>0.10598914793051767</v>
      </c>
      <c r="N159" s="292">
        <f t="shared" si="62"/>
        <v>0.10598914793051767</v>
      </c>
      <c r="O159" s="292">
        <f t="shared" si="62"/>
        <v>9.8923204735149928E-2</v>
      </c>
      <c r="P159" s="292">
        <f t="shared" si="62"/>
        <v>8.655780414325609E-2</v>
      </c>
      <c r="Q159" s="292">
        <f t="shared" si="62"/>
        <v>7.1282897529740263E-2</v>
      </c>
      <c r="R159" s="292">
        <f t="shared" si="62"/>
        <v>5.5442253634242489E-2</v>
      </c>
      <c r="S159" s="292">
        <f t="shared" si="62"/>
        <v>4.0852186888389319E-2</v>
      </c>
      <c r="T159" s="292">
        <f t="shared" si="62"/>
        <v>2.8596530821872412E-2</v>
      </c>
      <c r="U159" s="292">
        <f t="shared" si="62"/>
        <v>1.9064353881248275E-2</v>
      </c>
      <c r="V159" s="292">
        <f t="shared" si="62"/>
        <v>1.2131861560794377E-2</v>
      </c>
      <c r="W159" s="292">
        <f t="shared" si="62"/>
        <v>7.3846113848314854E-3</v>
      </c>
      <c r="X159" s="292">
        <f t="shared" si="62"/>
        <v>4.3076899744848296E-3</v>
      </c>
    </row>
    <row r="160" spans="3:79">
      <c r="C160" s="71" t="s">
        <v>719</v>
      </c>
      <c r="D160" s="71" t="str">
        <f>D159</f>
        <v>Retro3Slow</v>
      </c>
      <c r="E160" s="292">
        <f>E159</f>
        <v>5.5320496977002724E-3</v>
      </c>
      <c r="F160" s="292">
        <f>E160+F159</f>
        <v>1.4227918344261844E-2</v>
      </c>
      <c r="G160" s="292">
        <f t="shared" ref="G160:X160" si="63">F160+G159</f>
        <v>3.1619655637384989E-2</v>
      </c>
      <c r="H160" s="292">
        <f t="shared" si="63"/>
        <v>6.2055195900350503E-2</v>
      </c>
      <c r="I160" s="292">
        <f t="shared" si="63"/>
        <v>0.10939936964274129</v>
      </c>
      <c r="J160" s="292">
        <f t="shared" si="63"/>
        <v>0.17568121288208835</v>
      </c>
      <c r="K160" s="292">
        <f t="shared" si="63"/>
        <v>0.26003992245943919</v>
      </c>
      <c r="L160" s="292">
        <f t="shared" si="63"/>
        <v>0.3584584169663485</v>
      </c>
      <c r="M160" s="292">
        <f t="shared" si="63"/>
        <v>0.46444756489686617</v>
      </c>
      <c r="N160" s="292">
        <f t="shared" si="63"/>
        <v>0.57043671282738384</v>
      </c>
      <c r="O160" s="292">
        <f t="shared" si="63"/>
        <v>0.66935991756253377</v>
      </c>
      <c r="P160" s="292">
        <f t="shared" si="63"/>
        <v>0.75591772170578986</v>
      </c>
      <c r="Q160" s="292">
        <f t="shared" si="63"/>
        <v>0.82720061923553012</v>
      </c>
      <c r="R160" s="292">
        <f t="shared" si="63"/>
        <v>0.88264287286977261</v>
      </c>
      <c r="S160" s="292">
        <f t="shared" si="63"/>
        <v>0.92349505975816193</v>
      </c>
      <c r="T160" s="292">
        <f t="shared" si="63"/>
        <v>0.95209159058003434</v>
      </c>
      <c r="U160" s="292">
        <f t="shared" si="63"/>
        <v>0.97115594446128262</v>
      </c>
      <c r="V160" s="292">
        <f t="shared" si="63"/>
        <v>0.98328780602207699</v>
      </c>
      <c r="W160" s="292">
        <f t="shared" si="63"/>
        <v>0.99067241740690848</v>
      </c>
      <c r="X160" s="292">
        <f t="shared" si="63"/>
        <v>0.99498010738139331</v>
      </c>
    </row>
  </sheetData>
  <mergeCells count="1">
    <mergeCell ref="B1:S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Sheet17"/>
  <dimension ref="A1:EA22"/>
  <sheetViews>
    <sheetView workbookViewId="0">
      <selection sqref="A1:EA22"/>
    </sheetView>
  </sheetViews>
  <sheetFormatPr defaultRowHeight="12.75"/>
  <cols>
    <col min="2" max="2" width="32.42578125" customWidth="1"/>
  </cols>
  <sheetData>
    <row r="1" spans="1:131" ht="13.5" thickBot="1">
      <c r="A1" s="240" t="s">
        <v>461</v>
      </c>
      <c r="B1" s="241"/>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row>
    <row r="2" spans="1:131" ht="13.5" thickBot="1">
      <c r="A2" s="242"/>
      <c r="B2" s="243"/>
      <c r="C2" s="244"/>
      <c r="D2" s="244"/>
      <c r="E2" s="244"/>
      <c r="F2" s="244"/>
      <c r="G2" s="244"/>
      <c r="H2" s="244"/>
      <c r="I2" s="244"/>
      <c r="J2" s="244"/>
      <c r="K2" s="244"/>
      <c r="L2" s="244"/>
      <c r="M2" s="244"/>
      <c r="N2" s="244"/>
      <c r="O2" s="245" t="s">
        <v>462</v>
      </c>
      <c r="P2" s="246"/>
      <c r="Q2" s="246"/>
      <c r="R2" s="246"/>
      <c r="S2" s="246"/>
      <c r="T2" s="246"/>
      <c r="U2" s="246"/>
      <c r="V2" s="246"/>
      <c r="W2" s="246"/>
      <c r="X2" s="246"/>
      <c r="Y2" s="246"/>
      <c r="Z2" s="247"/>
      <c r="AA2" s="244"/>
      <c r="AB2" s="245" t="s">
        <v>463</v>
      </c>
      <c r="AC2" s="246"/>
      <c r="AD2" s="246"/>
      <c r="AE2" s="246"/>
      <c r="AF2" s="246"/>
      <c r="AG2" s="246"/>
      <c r="AH2" s="246"/>
      <c r="AI2" s="246"/>
      <c r="AJ2" s="246"/>
      <c r="AK2" s="246"/>
      <c r="AL2" s="246"/>
      <c r="AM2" s="247"/>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row>
    <row r="3" spans="1:131" ht="204">
      <c r="A3" s="248" t="s">
        <v>464</v>
      </c>
      <c r="B3" s="249" t="s">
        <v>465</v>
      </c>
      <c r="C3" s="250" t="s">
        <v>466</v>
      </c>
      <c r="D3" s="250" t="s">
        <v>467</v>
      </c>
      <c r="E3" s="250" t="s">
        <v>468</v>
      </c>
      <c r="F3" s="250" t="s">
        <v>469</v>
      </c>
      <c r="G3" s="250" t="s">
        <v>470</v>
      </c>
      <c r="H3" s="250" t="s">
        <v>471</v>
      </c>
      <c r="I3" s="250" t="s">
        <v>472</v>
      </c>
      <c r="J3" s="250" t="s">
        <v>473</v>
      </c>
      <c r="K3" s="250" t="s">
        <v>474</v>
      </c>
      <c r="L3" s="250" t="s">
        <v>475</v>
      </c>
      <c r="M3" s="250" t="s">
        <v>476</v>
      </c>
      <c r="N3" s="250" t="s">
        <v>477</v>
      </c>
      <c r="O3" s="250" t="s">
        <v>478</v>
      </c>
      <c r="P3" s="250" t="s">
        <v>479</v>
      </c>
      <c r="Q3" s="250" t="s">
        <v>480</v>
      </c>
      <c r="R3" s="250" t="s">
        <v>481</v>
      </c>
      <c r="S3" s="250" t="s">
        <v>482</v>
      </c>
      <c r="T3" s="250" t="s">
        <v>483</v>
      </c>
      <c r="U3" s="250" t="s">
        <v>484</v>
      </c>
      <c r="V3" s="250" t="s">
        <v>485</v>
      </c>
      <c r="W3" s="250" t="s">
        <v>486</v>
      </c>
      <c r="X3" s="250" t="s">
        <v>487</v>
      </c>
      <c r="Y3" s="250" t="s">
        <v>488</v>
      </c>
      <c r="Z3" s="250" t="s">
        <v>489</v>
      </c>
      <c r="AA3" s="250"/>
      <c r="AB3" s="250" t="s">
        <v>478</v>
      </c>
      <c r="AC3" s="250" t="s">
        <v>479</v>
      </c>
      <c r="AD3" s="250" t="s">
        <v>480</v>
      </c>
      <c r="AE3" s="250" t="s">
        <v>481</v>
      </c>
      <c r="AF3" s="250" t="s">
        <v>482</v>
      </c>
      <c r="AG3" s="250" t="s">
        <v>483</v>
      </c>
      <c r="AH3" s="250" t="s">
        <v>484</v>
      </c>
      <c r="AI3" s="250" t="s">
        <v>485</v>
      </c>
      <c r="AJ3" s="250" t="s">
        <v>486</v>
      </c>
      <c r="AK3" s="250" t="s">
        <v>487</v>
      </c>
      <c r="AL3" s="250" t="s">
        <v>488</v>
      </c>
      <c r="AM3" s="250" t="s">
        <v>489</v>
      </c>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row>
    <row r="4" spans="1:131">
      <c r="A4" s="71" t="s">
        <v>491</v>
      </c>
      <c r="B4" s="71"/>
      <c r="C4" s="84">
        <v>1.2357256502187177</v>
      </c>
      <c r="D4" s="84">
        <v>0.18359410174555876</v>
      </c>
      <c r="E4" s="84">
        <v>3.6718820349111753E-2</v>
      </c>
      <c r="F4" s="84">
        <v>0.22031292209467052</v>
      </c>
      <c r="G4" s="84">
        <v>0.28077907085313075</v>
      </c>
      <c r="H4" s="84">
        <v>0.82238805775753743</v>
      </c>
      <c r="I4" s="84">
        <v>1561.7877618771797</v>
      </c>
      <c r="J4" s="84">
        <v>-1.2690024673416769</v>
      </c>
      <c r="K4" s="84">
        <v>6.0459335408393819</v>
      </c>
      <c r="L4" s="251">
        <v>2.9289507058298878</v>
      </c>
      <c r="M4" s="84">
        <v>1.1739504768301726E-2</v>
      </c>
      <c r="N4" s="84">
        <v>2.3229957882234747E-4</v>
      </c>
      <c r="O4" s="84">
        <v>7.7486342503345879E-2</v>
      </c>
      <c r="P4" s="84">
        <v>6.9672791291506136E-2</v>
      </c>
      <c r="Q4" s="84">
        <v>8.0175471613182989E-2</v>
      </c>
      <c r="R4" s="84">
        <v>7.4588921816817186E-2</v>
      </c>
      <c r="S4" s="84">
        <v>7.6150871575860035E-2</v>
      </c>
      <c r="T4" s="84">
        <v>7.5379054662588707E-2</v>
      </c>
      <c r="U4" s="84">
        <v>7.1611388662872269E-2</v>
      </c>
      <c r="V4" s="84">
        <v>7.4616347628345903E-2</v>
      </c>
      <c r="W4" s="84">
        <v>6.9715519885151733E-2</v>
      </c>
      <c r="X4" s="84">
        <v>7.9488939993532334E-2</v>
      </c>
      <c r="Y4" s="84">
        <v>7.0343390153042945E-2</v>
      </c>
      <c r="Z4" s="84">
        <v>7.6585563062224013E-2</v>
      </c>
      <c r="AA4" s="84"/>
      <c r="AB4" s="84">
        <v>3.2897576703591162E-2</v>
      </c>
      <c r="AC4" s="84">
        <v>2.8264632343058614E-2</v>
      </c>
      <c r="AD4" s="84">
        <v>2.7111733108237151E-2</v>
      </c>
      <c r="AE4" s="84">
        <v>2.8309169385257019E-2</v>
      </c>
      <c r="AF4" s="84">
        <v>2.777509077738341E-2</v>
      </c>
      <c r="AG4" s="84">
        <v>2.4371871918091457E-2</v>
      </c>
      <c r="AH4" s="84">
        <v>2.8615675683371027E-2</v>
      </c>
      <c r="AI4" s="84">
        <v>2.3467748533868554E-2</v>
      </c>
      <c r="AJ4" s="84">
        <v>2.8891344016193681E-2</v>
      </c>
      <c r="AK4" s="84">
        <v>2.5948933764839772E-2</v>
      </c>
      <c r="AL4" s="84">
        <v>3.1133388285924914E-2</v>
      </c>
      <c r="AM4" s="93">
        <v>3.3123882850430712E-2</v>
      </c>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row>
    <row r="5" spans="1:131">
      <c r="A5" s="71" t="s">
        <v>490</v>
      </c>
      <c r="B5" s="71"/>
      <c r="C5" s="84">
        <v>1.0065102026425481</v>
      </c>
      <c r="D5" s="84">
        <v>0.1811789556978993</v>
      </c>
      <c r="E5" s="84">
        <v>3.6235791139579858E-2</v>
      </c>
      <c r="F5" s="84">
        <v>0.21741474683747916</v>
      </c>
      <c r="G5" s="84">
        <v>0.27708547472564599</v>
      </c>
      <c r="H5" s="84">
        <v>0.66984283325173632</v>
      </c>
      <c r="I5" s="84">
        <v>1892.2343532097311</v>
      </c>
      <c r="J5" s="84">
        <v>0.72075095040448933</v>
      </c>
      <c r="K5" s="84">
        <v>9.5833976838980899</v>
      </c>
      <c r="L5" s="251">
        <v>2.4174592115121731</v>
      </c>
      <c r="M5" s="84">
        <v>9.5619374099543512E-3</v>
      </c>
      <c r="N5" s="84">
        <v>1.8921019897327204E-4</v>
      </c>
      <c r="O5" s="84">
        <v>6.3113357144661139E-2</v>
      </c>
      <c r="P5" s="84">
        <v>5.6749145952480436E-2</v>
      </c>
      <c r="Q5" s="84">
        <v>6.5303678179750982E-2</v>
      </c>
      <c r="R5" s="84">
        <v>6.0753380654877565E-2</v>
      </c>
      <c r="S5" s="84">
        <v>6.2025603472469354E-2</v>
      </c>
      <c r="T5" s="84">
        <v>6.1396951313600442E-2</v>
      </c>
      <c r="U5" s="84">
        <v>5.8328151804427165E-2</v>
      </c>
      <c r="V5" s="84">
        <v>6.0775719237162816E-2</v>
      </c>
      <c r="W5" s="84">
        <v>5.678394879519981E-2</v>
      </c>
      <c r="X5" s="84">
        <v>6.4744491697304174E-2</v>
      </c>
      <c r="Y5" s="84">
        <v>5.7295355053099011E-2</v>
      </c>
      <c r="Z5" s="84">
        <v>6.2379663789943335E-2</v>
      </c>
      <c r="AA5" s="84"/>
      <c r="AB5" s="84">
        <v>2.6795386652789542E-2</v>
      </c>
      <c r="AC5" s="84">
        <v>2.3021809753802365E-2</v>
      </c>
      <c r="AD5" s="84">
        <v>2.2082762448066496E-2</v>
      </c>
      <c r="AE5" s="84">
        <v>2.3058085594932866E-2</v>
      </c>
      <c r="AF5" s="84">
        <v>2.2623073529153721E-2</v>
      </c>
      <c r="AG5" s="84">
        <v>1.9851119654847878E-2</v>
      </c>
      <c r="AH5" s="84">
        <v>2.3307737866997736E-2</v>
      </c>
      <c r="AI5" s="84">
        <v>1.9114702626920204E-2</v>
      </c>
      <c r="AJ5" s="84">
        <v>2.353227232533997E-2</v>
      </c>
      <c r="AK5" s="84">
        <v>2.1135651410476262E-2</v>
      </c>
      <c r="AL5" s="84">
        <v>2.5358438539387022E-2</v>
      </c>
      <c r="AM5" s="93">
        <v>2.6979715144857676E-2</v>
      </c>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row>
    <row r="6" spans="1:131">
      <c r="A6" s="71" t="s">
        <v>494</v>
      </c>
      <c r="B6" s="71"/>
      <c r="C6" s="84">
        <v>0.75826144027384157</v>
      </c>
      <c r="D6" s="84">
        <v>0.1798317315436718</v>
      </c>
      <c r="E6" s="84">
        <v>3.5966346308734361E-2</v>
      </c>
      <c r="F6" s="84">
        <v>0.21579807785240615</v>
      </c>
      <c r="G6" s="84">
        <v>0.2750251016381754</v>
      </c>
      <c r="H6" s="84">
        <v>0.50463074310132294</v>
      </c>
      <c r="I6" s="84">
        <v>2493.0598624458266</v>
      </c>
      <c r="J6" s="84">
        <v>4.3385658767157969</v>
      </c>
      <c r="K6" s="84">
        <v>16.015295457716352</v>
      </c>
      <c r="L6" s="251">
        <v>1.8348534010005313</v>
      </c>
      <c r="M6" s="84">
        <v>7.203551849990773E-3</v>
      </c>
      <c r="N6" s="84">
        <v>1.4254281537464511E-4</v>
      </c>
      <c r="O6" s="84">
        <v>4.7546885231151338E-2</v>
      </c>
      <c r="P6" s="84">
        <v>4.2752362600262855E-2</v>
      </c>
      <c r="Q6" s="84">
        <v>4.9196978770559938E-2</v>
      </c>
      <c r="R6" s="84">
        <v>4.5768980578563108E-2</v>
      </c>
      <c r="S6" s="84">
        <v>4.6727418459752666E-2</v>
      </c>
      <c r="T6" s="84">
        <v>4.6253818996812607E-2</v>
      </c>
      <c r="U6" s="84">
        <v>4.394191760760853E-2</v>
      </c>
      <c r="V6" s="84">
        <v>4.5785809504422799E-2</v>
      </c>
      <c r="W6" s="84">
        <v>4.2778581563147414E-2</v>
      </c>
      <c r="X6" s="84">
        <v>4.8775711756625491E-2</v>
      </c>
      <c r="Y6" s="84">
        <v>4.3163853013612204E-2</v>
      </c>
      <c r="Z6" s="84">
        <v>4.6994152254965851E-2</v>
      </c>
      <c r="AA6" s="84"/>
      <c r="AB6" s="84">
        <v>2.0186490333326871E-2</v>
      </c>
      <c r="AC6" s="84">
        <v>1.7343640010600143E-2</v>
      </c>
      <c r="AD6" s="84">
        <v>1.6636202211496753E-2</v>
      </c>
      <c r="AE6" s="84">
        <v>1.7370968667051453E-2</v>
      </c>
      <c r="AF6" s="84">
        <v>1.7043249310935461E-2</v>
      </c>
      <c r="AG6" s="84">
        <v>1.4954978639077939E-2</v>
      </c>
      <c r="AH6" s="84">
        <v>1.755904593729327E-2</v>
      </c>
      <c r="AI6" s="84">
        <v>1.440019376479393E-2</v>
      </c>
      <c r="AJ6" s="84">
        <v>1.772820052840093E-2</v>
      </c>
      <c r="AK6" s="84">
        <v>1.5922689544087192E-2</v>
      </c>
      <c r="AL6" s="84">
        <v>1.9103955508337791E-2</v>
      </c>
      <c r="AM6" s="93">
        <v>2.0325355480954915E-2</v>
      </c>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row>
    <row r="7" spans="1:131">
      <c r="A7" s="71" t="s">
        <v>492</v>
      </c>
      <c r="B7" s="71"/>
      <c r="C7" s="84">
        <v>0.42439544730337114</v>
      </c>
      <c r="D7" s="84">
        <v>0.11606750141743268</v>
      </c>
      <c r="E7" s="84">
        <v>2.3213500283486538E-2</v>
      </c>
      <c r="F7" s="84">
        <v>0.13928100170091923</v>
      </c>
      <c r="G7" s="84">
        <v>0.17750747379344683</v>
      </c>
      <c r="H7" s="84">
        <v>0.2824395103939018</v>
      </c>
      <c r="I7" s="84">
        <v>2874.9167378034704</v>
      </c>
      <c r="J7" s="84">
        <v>6.6378815384957663</v>
      </c>
      <c r="K7" s="84">
        <v>20.103111884906212</v>
      </c>
      <c r="L7" s="251">
        <v>1.591141512850085</v>
      </c>
      <c r="M7" s="84">
        <v>4.0317949023568819E-3</v>
      </c>
      <c r="N7" s="84">
        <v>7.9780559418868961E-5</v>
      </c>
      <c r="O7" s="84">
        <v>2.661177339872263E-2</v>
      </c>
      <c r="P7" s="84">
        <v>2.3928301091589079E-2</v>
      </c>
      <c r="Q7" s="84">
        <v>2.7535323177934414E-2</v>
      </c>
      <c r="R7" s="84">
        <v>2.5616688326184283E-2</v>
      </c>
      <c r="S7" s="84">
        <v>2.6153121608553279E-2</v>
      </c>
      <c r="T7" s="84">
        <v>2.5888050163215777E-2</v>
      </c>
      <c r="U7" s="84">
        <v>2.4594089568518766E-2</v>
      </c>
      <c r="V7" s="84">
        <v>2.5626107398734353E-2</v>
      </c>
      <c r="W7" s="84">
        <v>2.394297572475677E-2</v>
      </c>
      <c r="X7" s="84">
        <v>2.7299541964071951E-2</v>
      </c>
      <c r="Y7" s="84">
        <v>2.4158610386983793E-2</v>
      </c>
      <c r="Z7" s="84">
        <v>2.6302411289286013E-2</v>
      </c>
      <c r="AA7" s="84"/>
      <c r="AB7" s="84">
        <v>1.1298285972979842E-2</v>
      </c>
      <c r="AC7" s="84">
        <v>9.7071556975244187E-3</v>
      </c>
      <c r="AD7" s="84">
        <v>9.3112060088769676E-3</v>
      </c>
      <c r="AE7" s="84">
        <v>9.7224514210873438E-3</v>
      </c>
      <c r="AF7" s="84">
        <v>9.5390284018730346E-3</v>
      </c>
      <c r="AG7" s="84">
        <v>8.3702328930925531E-3</v>
      </c>
      <c r="AH7" s="84">
        <v>9.8277174058683265E-3</v>
      </c>
      <c r="AI7" s="84">
        <v>8.0597223457094819E-3</v>
      </c>
      <c r="AJ7" s="84">
        <v>9.9223924540029502E-3</v>
      </c>
      <c r="AK7" s="84">
        <v>8.9118562443253856E-3</v>
      </c>
      <c r="AL7" s="84">
        <v>1.0692396200836346E-2</v>
      </c>
      <c r="AM7" s="93">
        <v>1.1376008158643362E-2</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row>
    <row r="8" spans="1:131">
      <c r="A8" s="71" t="s">
        <v>495</v>
      </c>
      <c r="B8" s="71"/>
      <c r="C8" s="84">
        <v>0.98809785745715661</v>
      </c>
      <c r="D8" s="84">
        <v>0.29228310942328339</v>
      </c>
      <c r="E8" s="84">
        <v>5.8456621884656682E-2</v>
      </c>
      <c r="F8" s="84">
        <v>0.35073973130794006</v>
      </c>
      <c r="G8" s="84">
        <v>0.44700226809938193</v>
      </c>
      <c r="H8" s="84">
        <v>0.65758922923122032</v>
      </c>
      <c r="I8" s="84">
        <v>3109.489635130371</v>
      </c>
      <c r="J8" s="84">
        <v>8.0503404241651442</v>
      </c>
      <c r="K8" s="84">
        <v>22.614238448146263</v>
      </c>
      <c r="L8" s="251">
        <v>1.4711093794383581</v>
      </c>
      <c r="M8" s="84">
        <v>9.3870184754309399E-3</v>
      </c>
      <c r="N8" s="84">
        <v>1.8574892904580788E-4</v>
      </c>
      <c r="O8" s="84">
        <v>6.1958808572271672E-2</v>
      </c>
      <c r="P8" s="84">
        <v>5.5711019501789791E-2</v>
      </c>
      <c r="Q8" s="84">
        <v>6.4109061511818097E-2</v>
      </c>
      <c r="R8" s="84">
        <v>5.9642003728086139E-2</v>
      </c>
      <c r="S8" s="84">
        <v>6.0890953452560015E-2</v>
      </c>
      <c r="T8" s="84">
        <v>6.0273801386308397E-2</v>
      </c>
      <c r="U8" s="84">
        <v>5.7261140201137505E-2</v>
      </c>
      <c r="V8" s="84">
        <v>5.966393366504727E-2</v>
      </c>
      <c r="W8" s="84">
        <v>5.5745185687322882E-2</v>
      </c>
      <c r="X8" s="84">
        <v>6.3560104368836287E-2</v>
      </c>
      <c r="Y8" s="84">
        <v>5.6247236661464715E-2</v>
      </c>
      <c r="Z8" s="84">
        <v>6.1238536855279767E-2</v>
      </c>
      <c r="AA8" s="84"/>
      <c r="AB8" s="84">
        <v>2.6305211881454009E-2</v>
      </c>
      <c r="AC8" s="84">
        <v>2.2600665977150595E-2</v>
      </c>
      <c r="AD8" s="84">
        <v>2.1678796900799015E-2</v>
      </c>
      <c r="AE8" s="84">
        <v>2.2636278215163081E-2</v>
      </c>
      <c r="AF8" s="84">
        <v>2.2209223934902562E-2</v>
      </c>
      <c r="AG8" s="84">
        <v>1.9487978112475084E-2</v>
      </c>
      <c r="AH8" s="84">
        <v>2.2881363535201531E-2</v>
      </c>
      <c r="AI8" s="84">
        <v>1.8765032547114809E-2</v>
      </c>
      <c r="AJ8" s="84">
        <v>2.3101790528023632E-2</v>
      </c>
      <c r="AK8" s="84">
        <v>2.0749011604475211E-2</v>
      </c>
      <c r="AL8" s="84">
        <v>2.4894550222583196E-2</v>
      </c>
      <c r="AM8" s="93">
        <v>2.6486168405891266E-2</v>
      </c>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row>
    <row r="9" spans="1:131">
      <c r="A9" s="71" t="s">
        <v>496</v>
      </c>
      <c r="B9" s="71"/>
      <c r="C9" s="84">
        <v>0.98809785745715661</v>
      </c>
      <c r="D9" s="84">
        <v>0.29228310942328339</v>
      </c>
      <c r="E9" s="84">
        <v>5.8456621884656682E-2</v>
      </c>
      <c r="F9" s="84">
        <v>0.35073973130794006</v>
      </c>
      <c r="G9" s="84">
        <v>0.44700226809938193</v>
      </c>
      <c r="H9" s="84">
        <v>0.65758922923122032</v>
      </c>
      <c r="I9" s="84">
        <v>3109.489635130371</v>
      </c>
      <c r="J9" s="84">
        <v>8.0503404241651442</v>
      </c>
      <c r="K9" s="84">
        <v>22.614238448146263</v>
      </c>
      <c r="L9" s="251">
        <v>1.4711093794383581</v>
      </c>
      <c r="M9" s="84">
        <v>9.3870184754309399E-3</v>
      </c>
      <c r="N9" s="84">
        <v>1.8574892904580788E-4</v>
      </c>
      <c r="O9" s="84">
        <v>6.1958808572271672E-2</v>
      </c>
      <c r="P9" s="84">
        <v>5.5711019501789791E-2</v>
      </c>
      <c r="Q9" s="84">
        <v>6.4109061511818097E-2</v>
      </c>
      <c r="R9" s="84">
        <v>5.9642003728086139E-2</v>
      </c>
      <c r="S9" s="84">
        <v>6.0890953452560015E-2</v>
      </c>
      <c r="T9" s="84">
        <v>6.0273801386308397E-2</v>
      </c>
      <c r="U9" s="84">
        <v>5.7261140201137505E-2</v>
      </c>
      <c r="V9" s="84">
        <v>5.966393366504727E-2</v>
      </c>
      <c r="W9" s="84">
        <v>5.5745185687322882E-2</v>
      </c>
      <c r="X9" s="84">
        <v>6.3560104368836287E-2</v>
      </c>
      <c r="Y9" s="84">
        <v>5.6247236661464715E-2</v>
      </c>
      <c r="Z9" s="84">
        <v>6.1238536855279767E-2</v>
      </c>
      <c r="AA9" s="84"/>
      <c r="AB9" s="84">
        <v>2.6305211881454009E-2</v>
      </c>
      <c r="AC9" s="84">
        <v>2.2600665977150595E-2</v>
      </c>
      <c r="AD9" s="84">
        <v>2.1678796900799015E-2</v>
      </c>
      <c r="AE9" s="84">
        <v>2.2636278215163081E-2</v>
      </c>
      <c r="AF9" s="84">
        <v>2.2209223934902562E-2</v>
      </c>
      <c r="AG9" s="84">
        <v>1.9487978112475084E-2</v>
      </c>
      <c r="AH9" s="84">
        <v>2.2881363535201531E-2</v>
      </c>
      <c r="AI9" s="84">
        <v>1.8765032547114809E-2</v>
      </c>
      <c r="AJ9" s="84">
        <v>2.3101790528023632E-2</v>
      </c>
      <c r="AK9" s="84">
        <v>2.0749011604475211E-2</v>
      </c>
      <c r="AL9" s="84">
        <v>2.4894550222583196E-2</v>
      </c>
      <c r="AM9" s="93">
        <v>2.6486168405891266E-2</v>
      </c>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row>
    <row r="10" spans="1:131">
      <c r="A10" s="71" t="s">
        <v>501</v>
      </c>
      <c r="B10" s="71"/>
      <c r="C10" s="84">
        <v>0.75763738633758693</v>
      </c>
      <c r="D10" s="84">
        <v>0.21500550974150753</v>
      </c>
      <c r="E10" s="84">
        <v>4.3001101948301507E-2</v>
      </c>
      <c r="F10" s="84">
        <v>0.25800661168980904</v>
      </c>
      <c r="G10" s="84">
        <v>0.32881801038025227</v>
      </c>
      <c r="H10" s="84">
        <v>0.45289630126177977</v>
      </c>
      <c r="I10" s="84">
        <v>2983.1393740061003</v>
      </c>
      <c r="J10" s="84">
        <v>11.07787274130667</v>
      </c>
      <c r="K10" s="84">
        <v>25.049984802238548</v>
      </c>
      <c r="L10" s="251">
        <v>1.3773463951626028</v>
      </c>
      <c r="M10" s="84">
        <v>7.1976239909175444E-3</v>
      </c>
      <c r="N10" s="84">
        <v>9.1872907910982293E-5</v>
      </c>
      <c r="O10" s="84">
        <v>3.5908596614483125E-2</v>
      </c>
      <c r="P10" s="84">
        <v>3.2984502996557877E-2</v>
      </c>
      <c r="Q10" s="84">
        <v>3.8502420829714307E-2</v>
      </c>
      <c r="R10" s="84">
        <v>3.5673851695912695E-2</v>
      </c>
      <c r="S10" s="84">
        <v>3.7492007583157252E-2</v>
      </c>
      <c r="T10" s="84">
        <v>3.8054113923821901E-2</v>
      </c>
      <c r="U10" s="84">
        <v>3.7190666671238957E-2</v>
      </c>
      <c r="V10" s="84">
        <v>4.024705866254543E-2</v>
      </c>
      <c r="W10" s="84">
        <v>3.5284829795412247E-2</v>
      </c>
      <c r="X10" s="84">
        <v>3.8955541784971903E-2</v>
      </c>
      <c r="Y10" s="84">
        <v>3.4247766461419631E-2</v>
      </c>
      <c r="Z10" s="84">
        <v>3.5765774901922988E-2</v>
      </c>
      <c r="AA10" s="84"/>
      <c r="AB10" s="84">
        <v>2.8090682196730922E-2</v>
      </c>
      <c r="AC10" s="84">
        <v>2.472525349401599E-2</v>
      </c>
      <c r="AD10" s="84">
        <v>2.5174502754163545E-2</v>
      </c>
      <c r="AE10" s="84">
        <v>2.5827944691509681E-2</v>
      </c>
      <c r="AF10" s="84">
        <v>2.6541839591328928E-2</v>
      </c>
      <c r="AG10" s="84">
        <v>2.4786719909845586E-2</v>
      </c>
      <c r="AH10" s="84">
        <v>2.839200695967509E-2</v>
      </c>
      <c r="AI10" s="84">
        <v>2.5754361551863565E-2</v>
      </c>
      <c r="AJ10" s="84">
        <v>2.7607393009211532E-2</v>
      </c>
      <c r="AK10" s="84">
        <v>2.5234728062125674E-2</v>
      </c>
      <c r="AL10" s="84">
        <v>2.7195316879024014E-2</v>
      </c>
      <c r="AM10" s="93">
        <v>2.7999505316934046E-2</v>
      </c>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row>
    <row r="11" spans="1:131">
      <c r="A11" s="71" t="s">
        <v>497</v>
      </c>
      <c r="B11" s="71"/>
      <c r="C11" s="84">
        <v>2.1564427486716466</v>
      </c>
      <c r="D11" s="84">
        <v>0.73229385146975234</v>
      </c>
      <c r="E11" s="84">
        <v>0.14645877029395046</v>
      </c>
      <c r="F11" s="84">
        <v>0.87875262176370283</v>
      </c>
      <c r="G11" s="84">
        <v>1.1199313335898684</v>
      </c>
      <c r="H11" s="84">
        <v>1.4351347027809216</v>
      </c>
      <c r="I11" s="84">
        <v>3569.7089437648515</v>
      </c>
      <c r="J11" s="84">
        <v>10.821508190113379</v>
      </c>
      <c r="K11" s="84">
        <v>27.540932640005433</v>
      </c>
      <c r="L11" s="251">
        <v>1.2814488350644579</v>
      </c>
      <c r="M11" s="84">
        <v>2.0486399975690191E-2</v>
      </c>
      <c r="N11" s="84">
        <v>4.0538184360117846E-4</v>
      </c>
      <c r="O11" s="84">
        <v>0.13522003155219187</v>
      </c>
      <c r="P11" s="84">
        <v>0.12158474296757432</v>
      </c>
      <c r="Q11" s="84">
        <v>0.13991278270462096</v>
      </c>
      <c r="R11" s="84">
        <v>0.13016379449163548</v>
      </c>
      <c r="S11" s="84">
        <v>0.13288952510269889</v>
      </c>
      <c r="T11" s="84">
        <v>0.13154264120040915</v>
      </c>
      <c r="U11" s="84">
        <v>0.12496775459587263</v>
      </c>
      <c r="V11" s="84">
        <v>0.13021165478521041</v>
      </c>
      <c r="W11" s="84">
        <v>0.12165930787274698</v>
      </c>
      <c r="X11" s="84">
        <v>0.13871472864410403</v>
      </c>
      <c r="Y11" s="84">
        <v>0.12275499305663944</v>
      </c>
      <c r="Z11" s="84">
        <v>0.13364809744722614</v>
      </c>
      <c r="AA11" s="84"/>
      <c r="AB11" s="84">
        <v>5.7408973196252815E-2</v>
      </c>
      <c r="AC11" s="84">
        <v>4.9324104787556028E-2</v>
      </c>
      <c r="AD11" s="84">
        <v>4.7312200936211843E-2</v>
      </c>
      <c r="AE11" s="84">
        <v>4.9401825583979597E-2</v>
      </c>
      <c r="AF11" s="84">
        <v>4.8469814549842817E-2</v>
      </c>
      <c r="AG11" s="84">
        <v>4.2530918137063993E-2</v>
      </c>
      <c r="AH11" s="84">
        <v>4.9936704247276059E-2</v>
      </c>
      <c r="AI11" s="84">
        <v>4.0953148576751912E-2</v>
      </c>
      <c r="AJ11" s="84">
        <v>5.0417768128444666E-2</v>
      </c>
      <c r="AK11" s="84">
        <v>4.528302058231564E-2</v>
      </c>
      <c r="AL11" s="84">
        <v>5.4330319516211839E-2</v>
      </c>
      <c r="AM11" s="93">
        <v>5.7803896008808815E-2</v>
      </c>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row>
    <row r="12" spans="1:131">
      <c r="A12" s="71" t="s">
        <v>498</v>
      </c>
      <c r="B12" s="71"/>
      <c r="C12" s="84">
        <v>0.15178749688730306</v>
      </c>
      <c r="D12" s="84">
        <v>6.6713799252344441E-2</v>
      </c>
      <c r="E12" s="84">
        <v>1.3342759850468889E-2</v>
      </c>
      <c r="F12" s="84">
        <v>8.0056559102813327E-2</v>
      </c>
      <c r="G12" s="84">
        <v>0.10202854225195006</v>
      </c>
      <c r="H12" s="84">
        <v>0.10101613148107208</v>
      </c>
      <c r="I12" s="84">
        <v>4620.2452252133271</v>
      </c>
      <c r="J12" s="84">
        <v>17.147214707614797</v>
      </c>
      <c r="K12" s="84">
        <v>38.787029661676023</v>
      </c>
      <c r="L12" s="252">
        <v>0.99007718086985974</v>
      </c>
      <c r="M12" s="84">
        <v>1.4419948660624529E-3</v>
      </c>
      <c r="N12" s="84">
        <v>2.8533980492496855E-5</v>
      </c>
      <c r="O12" s="84">
        <v>9.5178553341944382E-3</v>
      </c>
      <c r="P12" s="84">
        <v>8.5580958762306158E-3</v>
      </c>
      <c r="Q12" s="84">
        <v>9.8481682772952883E-3</v>
      </c>
      <c r="R12" s="84">
        <v>9.1619573779127654E-3</v>
      </c>
      <c r="S12" s="84">
        <v>9.3538158572984437E-3</v>
      </c>
      <c r="T12" s="84">
        <v>9.2590115151695851E-3</v>
      </c>
      <c r="U12" s="84">
        <v>8.7962189923283425E-3</v>
      </c>
      <c r="V12" s="84">
        <v>9.1653261639222747E-3</v>
      </c>
      <c r="W12" s="84">
        <v>8.5633443440226633E-3</v>
      </c>
      <c r="X12" s="84">
        <v>9.7638397565898098E-3</v>
      </c>
      <c r="Y12" s="84">
        <v>8.6404673335117119E-3</v>
      </c>
      <c r="Z12" s="84">
        <v>9.4072101787821237E-3</v>
      </c>
      <c r="AA12" s="84"/>
      <c r="AB12" s="84">
        <v>4.0408976058822939E-3</v>
      </c>
      <c r="AC12" s="84">
        <v>3.4718206205668926E-3</v>
      </c>
      <c r="AD12" s="84">
        <v>3.3302069144939758E-3</v>
      </c>
      <c r="AE12" s="84">
        <v>3.4772912249464842E-3</v>
      </c>
      <c r="AF12" s="84">
        <v>3.4116889166866836E-3</v>
      </c>
      <c r="AG12" s="84">
        <v>2.9936624138620811E-3</v>
      </c>
      <c r="AH12" s="84">
        <v>3.5149402158553352E-3</v>
      </c>
      <c r="AI12" s="84">
        <v>2.882606512947358E-3</v>
      </c>
      <c r="AJ12" s="84">
        <v>3.5488012967537048E-3</v>
      </c>
      <c r="AK12" s="84">
        <v>3.1873771515241386E-3</v>
      </c>
      <c r="AL12" s="84">
        <v>3.824197609481203E-3</v>
      </c>
      <c r="AM12" s="93">
        <v>4.0686953970448438E-3</v>
      </c>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row>
    <row r="13" spans="1:131">
      <c r="A13" s="71" t="s">
        <v>499</v>
      </c>
      <c r="B13" s="71"/>
      <c r="C13" s="84">
        <v>0.12235600665603641</v>
      </c>
      <c r="D13" s="84">
        <v>6.186975639218098E-2</v>
      </c>
      <c r="E13" s="84">
        <v>1.2373951278436197E-2</v>
      </c>
      <c r="F13" s="84">
        <v>7.4243707670617179E-2</v>
      </c>
      <c r="G13" s="84">
        <v>9.4620320307356245E-2</v>
      </c>
      <c r="H13" s="84">
        <v>8.1429173741773567E-2</v>
      </c>
      <c r="I13" s="84">
        <v>5315.4307415648263</v>
      </c>
      <c r="J13" s="84">
        <v>21.333209641168121</v>
      </c>
      <c r="K13" s="84">
        <v>46.229060844235001</v>
      </c>
      <c r="L13" s="252">
        <v>0.86058865027370723</v>
      </c>
      <c r="M13" s="84">
        <v>1.1623930629866433E-3</v>
      </c>
      <c r="N13" s="84">
        <v>2.3001261491618969E-5</v>
      </c>
      <c r="O13" s="84">
        <v>7.6723497949672138E-3</v>
      </c>
      <c r="P13" s="84">
        <v>6.8986870293574433E-3</v>
      </c>
      <c r="Q13" s="84">
        <v>7.9386152878004601E-3</v>
      </c>
      <c r="R13" s="84">
        <v>7.3854602052403229E-3</v>
      </c>
      <c r="S13" s="84">
        <v>7.5401174587172706E-3</v>
      </c>
      <c r="T13" s="84">
        <v>7.4636956126863541E-3</v>
      </c>
      <c r="U13" s="84">
        <v>7.0906382386183861E-3</v>
      </c>
      <c r="V13" s="84">
        <v>7.3881757859821824E-3</v>
      </c>
      <c r="W13" s="84">
        <v>6.9029178228896303E-3</v>
      </c>
      <c r="X13" s="84">
        <v>7.8706380086943032E-3</v>
      </c>
      <c r="Y13" s="84">
        <v>6.9650867182780418E-3</v>
      </c>
      <c r="Z13" s="84">
        <v>7.5831586583471871E-3</v>
      </c>
      <c r="AA13" s="84"/>
      <c r="AB13" s="84">
        <v>3.2573703664722209E-3</v>
      </c>
      <c r="AC13" s="84">
        <v>2.7986370133901406E-3</v>
      </c>
      <c r="AD13" s="84">
        <v>2.6844821065751963E-3</v>
      </c>
      <c r="AE13" s="84">
        <v>2.8030468713798199E-3</v>
      </c>
      <c r="AF13" s="84">
        <v>2.7501648051313251E-3</v>
      </c>
      <c r="AG13" s="84">
        <v>2.4131933508884087E-3</v>
      </c>
      <c r="AH13" s="84">
        <v>2.8333957490983622E-3</v>
      </c>
      <c r="AI13" s="84">
        <v>2.3236711120336309E-3</v>
      </c>
      <c r="AJ13" s="84">
        <v>2.8606911899267833E-3</v>
      </c>
      <c r="AK13" s="84">
        <v>2.5693469354511021E-3</v>
      </c>
      <c r="AL13" s="84">
        <v>3.0826883488769179E-3</v>
      </c>
      <c r="AM13" s="93">
        <v>3.2797781852336922E-3</v>
      </c>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row>
    <row r="14" spans="1:131">
      <c r="A14" s="71" t="s">
        <v>500</v>
      </c>
      <c r="B14" s="71"/>
      <c r="C14" s="84">
        <v>0.122195039062654</v>
      </c>
      <c r="D14" s="84">
        <v>6.186975639218098E-2</v>
      </c>
      <c r="E14" s="84">
        <v>1.2373951278436197E-2</v>
      </c>
      <c r="F14" s="84">
        <v>7.4243707670617179E-2</v>
      </c>
      <c r="G14" s="84">
        <v>9.4620320307356245E-2</v>
      </c>
      <c r="H14" s="84">
        <v>7.3045077001197015E-2</v>
      </c>
      <c r="I14" s="84">
        <v>5322.4327614571548</v>
      </c>
      <c r="J14" s="84">
        <v>25.163710316515516</v>
      </c>
      <c r="K14" s="84">
        <v>50.092356838313059</v>
      </c>
      <c r="L14" s="252">
        <v>0.77198086799879639</v>
      </c>
      <c r="M14" s="84">
        <v>1.1608639707974633E-3</v>
      </c>
      <c r="N14" s="84">
        <v>1.4817660497524398E-5</v>
      </c>
      <c r="O14" s="84">
        <v>5.791493985272682E-3</v>
      </c>
      <c r="P14" s="84">
        <v>5.3198835020671674E-3</v>
      </c>
      <c r="Q14" s="84">
        <v>6.2098371887858803E-3</v>
      </c>
      <c r="R14" s="84">
        <v>5.7536333081047632E-3</v>
      </c>
      <c r="S14" s="84">
        <v>6.0468733641925567E-3</v>
      </c>
      <c r="T14" s="84">
        <v>6.1375323093469302E-3</v>
      </c>
      <c r="U14" s="84">
        <v>5.9982717967843923E-3</v>
      </c>
      <c r="V14" s="84">
        <v>6.491219934644717E-3</v>
      </c>
      <c r="W14" s="84">
        <v>5.6908901711039987E-3</v>
      </c>
      <c r="X14" s="84">
        <v>6.2829184989565186E-3</v>
      </c>
      <c r="Y14" s="84">
        <v>5.5236281049851977E-3</v>
      </c>
      <c r="Z14" s="84">
        <v>5.7684590808975899E-3</v>
      </c>
      <c r="AA14" s="84"/>
      <c r="AB14" s="84">
        <v>4.5305868879029513E-3</v>
      </c>
      <c r="AC14" s="84">
        <v>3.9877959707615039E-3</v>
      </c>
      <c r="AD14" s="84">
        <v>4.060252837176143E-3</v>
      </c>
      <c r="AE14" s="84">
        <v>4.1656427829458061E-3</v>
      </c>
      <c r="AF14" s="84">
        <v>4.2807828443302267E-3</v>
      </c>
      <c r="AG14" s="84">
        <v>3.9977095405229514E-3</v>
      </c>
      <c r="AH14" s="84">
        <v>4.5791858507346263E-3</v>
      </c>
      <c r="AI14" s="84">
        <v>4.1537749754886333E-3</v>
      </c>
      <c r="AJ14" s="84">
        <v>4.4526399145718648E-3</v>
      </c>
      <c r="AK14" s="84">
        <v>4.0699662356853787E-3</v>
      </c>
      <c r="AL14" s="84">
        <v>4.3861784915572742E-3</v>
      </c>
      <c r="AM14" s="93">
        <v>4.515881485834229E-3</v>
      </c>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row>
    <row r="15" spans="1:131">
      <c r="A15" s="71" t="s">
        <v>504</v>
      </c>
      <c r="B15" s="71"/>
      <c r="C15" s="84">
        <v>0.2848915940665197</v>
      </c>
      <c r="D15" s="84">
        <v>0.19999195139965231</v>
      </c>
      <c r="E15" s="84">
        <v>3.9998390279930462E-2</v>
      </c>
      <c r="F15" s="84">
        <v>0.23999034167958277</v>
      </c>
      <c r="G15" s="84">
        <v>0.30585707143207419</v>
      </c>
      <c r="H15" s="84">
        <v>0.18959826938475005</v>
      </c>
      <c r="I15" s="84">
        <v>7379.3521356838373</v>
      </c>
      <c r="J15" s="84">
        <v>33.760920368481607</v>
      </c>
      <c r="K15" s="84">
        <v>68.323547872670318</v>
      </c>
      <c r="L15" s="252">
        <v>0.61989173079117998</v>
      </c>
      <c r="M15" s="84">
        <v>2.7064957552681954E-3</v>
      </c>
      <c r="N15" s="84">
        <v>5.3555736501840944E-5</v>
      </c>
      <c r="O15" s="84">
        <v>1.7864165585828307E-2</v>
      </c>
      <c r="P15" s="84">
        <v>1.6062782682052364E-2</v>
      </c>
      <c r="Q15" s="84">
        <v>1.8484133520148178E-2</v>
      </c>
      <c r="R15" s="84">
        <v>1.7196176863638744E-2</v>
      </c>
      <c r="S15" s="84">
        <v>1.7556278118012459E-2</v>
      </c>
      <c r="T15" s="84">
        <v>1.7378338823226071E-2</v>
      </c>
      <c r="U15" s="84">
        <v>1.6509718533294027E-2</v>
      </c>
      <c r="V15" s="84">
        <v>1.7202499774524024E-2</v>
      </c>
      <c r="W15" s="84">
        <v>1.6072633587998809E-2</v>
      </c>
      <c r="X15" s="84">
        <v>1.8325856407858141E-2</v>
      </c>
      <c r="Y15" s="84">
        <v>1.6217386560840992E-2</v>
      </c>
      <c r="Z15" s="84">
        <v>1.7656494497315954E-2</v>
      </c>
      <c r="AA15" s="84"/>
      <c r="AB15" s="84">
        <v>7.58440440752593E-3</v>
      </c>
      <c r="AC15" s="84">
        <v>6.5162976608058986E-3</v>
      </c>
      <c r="AD15" s="84">
        <v>6.2505013647200939E-3</v>
      </c>
      <c r="AE15" s="84">
        <v>6.5265654973152938E-3</v>
      </c>
      <c r="AF15" s="84">
        <v>6.4034358156363465E-3</v>
      </c>
      <c r="AG15" s="84">
        <v>5.6188373526932806E-3</v>
      </c>
      <c r="AH15" s="84">
        <v>6.597229295421024E-3</v>
      </c>
      <c r="AI15" s="84">
        <v>5.4103953315063858E-3</v>
      </c>
      <c r="AJ15" s="84">
        <v>6.660783524272392E-3</v>
      </c>
      <c r="AK15" s="84">
        <v>5.9824226382961931E-3</v>
      </c>
      <c r="AL15" s="84">
        <v>7.1776778412742138E-3</v>
      </c>
      <c r="AM15" s="93">
        <v>7.6365783823145574E-3</v>
      </c>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row>
    <row r="16" spans="1:131">
      <c r="A16" s="71" t="s">
        <v>502</v>
      </c>
      <c r="B16" s="71"/>
      <c r="C16" s="84">
        <v>0.12367585487615354</v>
      </c>
      <c r="D16" s="84">
        <v>8.6958816167838432E-2</v>
      </c>
      <c r="E16" s="84">
        <v>1.7391763233567687E-2</v>
      </c>
      <c r="F16" s="84">
        <v>0.10435057940140612</v>
      </c>
      <c r="G16" s="84">
        <v>0.13299019616617136</v>
      </c>
      <c r="H16" s="84">
        <v>8.2307546230104417E-2</v>
      </c>
      <c r="I16" s="84">
        <v>7391.1846129682281</v>
      </c>
      <c r="J16" s="84">
        <v>33.832168530013789</v>
      </c>
      <c r="K16" s="84">
        <v>68.450215737357013</v>
      </c>
      <c r="L16" s="252">
        <v>0.6188993520038204</v>
      </c>
      <c r="M16" s="84">
        <v>1.1749317397315648E-3</v>
      </c>
      <c r="N16" s="84">
        <v>2.324937496695904E-5</v>
      </c>
      <c r="O16" s="84">
        <v>7.7551110544897672E-3</v>
      </c>
      <c r="P16" s="84">
        <v>6.9731028267153846E-3</v>
      </c>
      <c r="Q16" s="84">
        <v>8.0242487400857473E-3</v>
      </c>
      <c r="R16" s="84">
        <v>7.4651268008822909E-3</v>
      </c>
      <c r="S16" s="84">
        <v>7.6214523345385973E-3</v>
      </c>
      <c r="T16" s="84">
        <v>7.5442061298168521E-3</v>
      </c>
      <c r="U16" s="84">
        <v>7.167124604220719E-3</v>
      </c>
      <c r="V16" s="84">
        <v>7.4678716744599229E-3</v>
      </c>
      <c r="W16" s="84">
        <v>6.9773792576091186E-3</v>
      </c>
      <c r="X16" s="84">
        <v>7.9555381934164476E-3</v>
      </c>
      <c r="Y16" s="84">
        <v>7.040218765811462E-3</v>
      </c>
      <c r="Z16" s="84">
        <v>7.6649578174699702E-3</v>
      </c>
      <c r="AA16" s="84"/>
      <c r="AB16" s="84">
        <v>3.2925074602524764E-3</v>
      </c>
      <c r="AC16" s="84">
        <v>2.8288257730744999E-3</v>
      </c>
      <c r="AD16" s="84">
        <v>2.7134394828996775E-3</v>
      </c>
      <c r="AE16" s="84">
        <v>2.8332831999852127E-3</v>
      </c>
      <c r="AF16" s="84">
        <v>2.7798306974915212E-3</v>
      </c>
      <c r="AG16" s="84">
        <v>2.4392243487610533E-3</v>
      </c>
      <c r="AH16" s="84">
        <v>2.8639594495536063E-3</v>
      </c>
      <c r="AI16" s="84">
        <v>2.3487364379229988E-3</v>
      </c>
      <c r="AJ16" s="84">
        <v>2.8915493249584679E-3</v>
      </c>
      <c r="AK16" s="84">
        <v>2.597062354352862E-3</v>
      </c>
      <c r="AL16" s="84">
        <v>3.1159411563331041E-3</v>
      </c>
      <c r="AM16" s="93">
        <v>3.3151569910517729E-3</v>
      </c>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row>
    <row r="17" spans="1:131">
      <c r="A17" s="71" t="s">
        <v>493</v>
      </c>
      <c r="B17" s="71"/>
      <c r="C17" s="84">
        <v>2.8497733744070924E-2</v>
      </c>
      <c r="D17" s="84">
        <v>2.1088272602037467E-2</v>
      </c>
      <c r="E17" s="84">
        <v>4.2176545204074935E-3</v>
      </c>
      <c r="F17" s="84">
        <v>2.5305927122444959E-2</v>
      </c>
      <c r="G17" s="84">
        <v>3.2251284386595767E-2</v>
      </c>
      <c r="H17" s="84">
        <v>1.8965533247715466E-2</v>
      </c>
      <c r="I17" s="84">
        <v>7778.8614204713494</v>
      </c>
      <c r="J17" s="84">
        <v>36.166528371946491</v>
      </c>
      <c r="K17" s="84">
        <v>72.600335126113649</v>
      </c>
      <c r="L17" s="252">
        <v>0.58805513046785496</v>
      </c>
      <c r="M17" s="84">
        <v>2.7073103250312863E-4</v>
      </c>
      <c r="N17" s="84">
        <v>5.3571855087473207E-6</v>
      </c>
      <c r="O17" s="84">
        <v>1.7869542135597804E-3</v>
      </c>
      <c r="P17" s="84">
        <v>1.6067617072447577E-3</v>
      </c>
      <c r="Q17" s="84">
        <v>1.848969666069004E-3</v>
      </c>
      <c r="R17" s="84">
        <v>1.7201352369895007E-3</v>
      </c>
      <c r="S17" s="84">
        <v>1.7561562003375875E-3</v>
      </c>
      <c r="T17" s="84">
        <v>1.7383569154480296E-3</v>
      </c>
      <c r="U17" s="84">
        <v>1.6514687437268194E-3</v>
      </c>
      <c r="V17" s="84">
        <v>1.7207677183776813E-3</v>
      </c>
      <c r="W17" s="84">
        <v>1.6077470943205664E-3</v>
      </c>
      <c r="X17" s="84">
        <v>1.83313719119869E-3</v>
      </c>
      <c r="Y17" s="84">
        <v>1.622226748212201E-3</v>
      </c>
      <c r="Z17" s="84">
        <v>1.7661808544645146E-3</v>
      </c>
      <c r="AA17" s="84"/>
      <c r="AB17" s="84">
        <v>7.5866870737704365E-4</v>
      </c>
      <c r="AC17" s="84">
        <v>6.5182588606457596E-4</v>
      </c>
      <c r="AD17" s="84">
        <v>6.2523825682675113E-4</v>
      </c>
      <c r="AE17" s="84">
        <v>6.5285297874497308E-4</v>
      </c>
      <c r="AF17" s="84">
        <v>6.4053630476244925E-4</v>
      </c>
      <c r="AG17" s="84">
        <v>5.6205284453182507E-4</v>
      </c>
      <c r="AH17" s="84">
        <v>6.5992148531274382E-4</v>
      </c>
      <c r="AI17" s="84">
        <v>5.4120236896646628E-4</v>
      </c>
      <c r="AJ17" s="84">
        <v>6.6627882097949269E-4</v>
      </c>
      <c r="AK17" s="84">
        <v>5.9842231586117048E-4</v>
      </c>
      <c r="AL17" s="84">
        <v>7.1798380956649159E-4</v>
      </c>
      <c r="AM17" s="93">
        <v>7.6388767512780499E-4</v>
      </c>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row>
    <row r="18" spans="1:131">
      <c r="A18" s="71" t="s">
        <v>505</v>
      </c>
      <c r="B18" s="71"/>
      <c r="C18" s="84">
        <v>4.9953631666669059E-2</v>
      </c>
      <c r="D18" s="84">
        <v>3.7784319235833738E-2</v>
      </c>
      <c r="E18" s="84">
        <v>7.5568638471667478E-3</v>
      </c>
      <c r="F18" s="84">
        <v>4.5341183083000489E-2</v>
      </c>
      <c r="G18" s="84">
        <v>5.7785331592833222E-2</v>
      </c>
      <c r="H18" s="84">
        <v>3.3244652740692208E-2</v>
      </c>
      <c r="I18" s="84">
        <v>7951.1489065989881</v>
      </c>
      <c r="J18" s="84">
        <v>37.203941446703766</v>
      </c>
      <c r="K18" s="84">
        <v>74.444690070180542</v>
      </c>
      <c r="L18" s="252">
        <v>0.57531300460366919</v>
      </c>
      <c r="M18" s="84">
        <v>4.7456399164414294E-4</v>
      </c>
      <c r="N18" s="84">
        <v>9.3906018660048138E-6</v>
      </c>
      <c r="O18" s="84">
        <v>3.1323491682190164E-3</v>
      </c>
      <c r="P18" s="84">
        <v>2.8164900135791379E-3</v>
      </c>
      <c r="Q18" s="84">
        <v>3.2410559552256179E-3</v>
      </c>
      <c r="R18" s="84">
        <v>3.0152222916079948E-3</v>
      </c>
      <c r="S18" s="84">
        <v>3.0783633803531055E-3</v>
      </c>
      <c r="T18" s="84">
        <v>3.0471630424845522E-3</v>
      </c>
      <c r="U18" s="84">
        <v>2.8948569059569535E-3</v>
      </c>
      <c r="V18" s="84">
        <v>3.0163309672165519E-3</v>
      </c>
      <c r="W18" s="84">
        <v>2.8182172970002022E-3</v>
      </c>
      <c r="X18" s="84">
        <v>3.2133032354779291E-3</v>
      </c>
      <c r="Y18" s="84">
        <v>2.843598659029176E-3</v>
      </c>
      <c r="Z18" s="84">
        <v>3.0959355804564366E-3</v>
      </c>
      <c r="AA18" s="84"/>
      <c r="AB18" s="84">
        <v>1.3298691575159259E-3</v>
      </c>
      <c r="AC18" s="84">
        <v>1.1425845477991557E-3</v>
      </c>
      <c r="AD18" s="84">
        <v>1.0959791352507778E-3</v>
      </c>
      <c r="AE18" s="84">
        <v>1.1443849369074568E-3</v>
      </c>
      <c r="AF18" s="84">
        <v>1.1227950588839298E-3</v>
      </c>
      <c r="AG18" s="84">
        <v>9.8522152761666031E-4</v>
      </c>
      <c r="AH18" s="84">
        <v>1.1567753107066827E-3</v>
      </c>
      <c r="AI18" s="84">
        <v>9.4867276251762772E-4</v>
      </c>
      <c r="AJ18" s="84">
        <v>1.1679190741767946E-3</v>
      </c>
      <c r="AK18" s="84">
        <v>1.0489735154418532E-3</v>
      </c>
      <c r="AL18" s="84">
        <v>1.2585526655493594E-3</v>
      </c>
      <c r="AM18" s="93">
        <v>1.3390174776961577E-3</v>
      </c>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row>
    <row r="19" spans="1:131">
      <c r="A19" s="71" t="s">
        <v>503</v>
      </c>
      <c r="B19" s="71"/>
      <c r="C19" s="84">
        <v>0.41512223336099691</v>
      </c>
      <c r="D19" s="84">
        <v>0.31606351396005627</v>
      </c>
      <c r="E19" s="84">
        <v>6.3212702792011258E-2</v>
      </c>
      <c r="F19" s="84">
        <v>0.37927621675206752</v>
      </c>
      <c r="G19" s="84">
        <v>0.48337075612194547</v>
      </c>
      <c r="H19" s="84">
        <v>0.27626809167981287</v>
      </c>
      <c r="I19" s="84">
        <v>8003.5695314320774</v>
      </c>
      <c r="J19" s="84">
        <v>37.519587363949931</v>
      </c>
      <c r="K19" s="84">
        <v>75.005858154729395</v>
      </c>
      <c r="L19" s="252">
        <v>0.57154490250153978</v>
      </c>
      <c r="M19" s="84">
        <v>3.9436985362462365E-3</v>
      </c>
      <c r="N19" s="84">
        <v>7.8037321595196869E-5</v>
      </c>
      <c r="O19" s="84">
        <v>2.6030295275711723E-2</v>
      </c>
      <c r="P19" s="84">
        <v>2.3405457935024215E-2</v>
      </c>
      <c r="Q19" s="84">
        <v>2.6933665114861751E-2</v>
      </c>
      <c r="R19" s="84">
        <v>2.5056953218625461E-2</v>
      </c>
      <c r="S19" s="84">
        <v>2.5581665214574383E-2</v>
      </c>
      <c r="T19" s="84">
        <v>2.5322385688632456E-2</v>
      </c>
      <c r="U19" s="84">
        <v>2.4056698661674848E-2</v>
      </c>
      <c r="V19" s="84">
        <v>2.5066166480591436E-2</v>
      </c>
      <c r="W19" s="84">
        <v>2.3419811921460764E-2</v>
      </c>
      <c r="X19" s="84">
        <v>2.6703035816868399E-2</v>
      </c>
      <c r="Y19" s="84">
        <v>2.3630734878204305E-2</v>
      </c>
      <c r="Z19" s="84">
        <v>2.5727692854779539E-2</v>
      </c>
      <c r="AA19" s="84"/>
      <c r="AB19" s="84">
        <v>1.1051413807702646E-2</v>
      </c>
      <c r="AC19" s="84">
        <v>9.4950503789423026E-3</v>
      </c>
      <c r="AD19" s="84">
        <v>9.1077523527869336E-3</v>
      </c>
      <c r="AE19" s="84">
        <v>9.5100118846951562E-3</v>
      </c>
      <c r="AF19" s="84">
        <v>9.3305967334019989E-3</v>
      </c>
      <c r="AG19" s="84">
        <v>8.1873398840880043E-3</v>
      </c>
      <c r="AH19" s="84">
        <v>9.6129777646943113E-3</v>
      </c>
      <c r="AI19" s="84">
        <v>7.8836141190477757E-3</v>
      </c>
      <c r="AJ19" s="84">
        <v>9.705584124340555E-3</v>
      </c>
      <c r="AK19" s="84">
        <v>8.7171285437752932E-3</v>
      </c>
      <c r="AL19" s="84">
        <v>1.0458762974662486E-2</v>
      </c>
      <c r="AM19" s="93">
        <v>1.1127437731850152E-2</v>
      </c>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row>
    <row r="20" spans="1:131">
      <c r="A20" s="71" t="s">
        <v>507</v>
      </c>
      <c r="B20" s="71"/>
      <c r="C20" s="84">
        <v>0.1140556994609167</v>
      </c>
      <c r="D20" s="84">
        <v>9.4553141516109079E-2</v>
      </c>
      <c r="E20" s="84">
        <v>1.8910628303221818E-2</v>
      </c>
      <c r="F20" s="84">
        <v>0.1134637698193309</v>
      </c>
      <c r="G20" s="84">
        <v>0.14460455411542061</v>
      </c>
      <c r="H20" s="84">
        <v>7.5905234417719528E-2</v>
      </c>
      <c r="I20" s="84">
        <v>8714.5370929747478</v>
      </c>
      <c r="J20" s="84">
        <v>41.800612414871154</v>
      </c>
      <c r="K20" s="84">
        <v>82.616837725415991</v>
      </c>
      <c r="L20" s="252">
        <v>0.5249159328490679</v>
      </c>
      <c r="M20" s="84">
        <v>1.0835393984388276E-3</v>
      </c>
      <c r="N20" s="84">
        <v>2.1440916875335303E-5</v>
      </c>
      <c r="O20" s="84">
        <v>7.1518779199274789E-3</v>
      </c>
      <c r="P20" s="84">
        <v>6.430698385795173E-3</v>
      </c>
      <c r="Q20" s="84">
        <v>7.4000806674458276E-3</v>
      </c>
      <c r="R20" s="84">
        <v>6.8844501595859593E-3</v>
      </c>
      <c r="S20" s="84">
        <v>7.0286158748957541E-3</v>
      </c>
      <c r="T20" s="84">
        <v>6.9573782843485752E-3</v>
      </c>
      <c r="U20" s="84">
        <v>6.6096281337737171E-3</v>
      </c>
      <c r="V20" s="84">
        <v>6.8869815225277558E-3</v>
      </c>
      <c r="W20" s="84">
        <v>6.4346421735075729E-3</v>
      </c>
      <c r="X20" s="84">
        <v>7.3367147867849924E-3</v>
      </c>
      <c r="Y20" s="84">
        <v>6.4925936958073402E-3</v>
      </c>
      <c r="Z20" s="84">
        <v>7.068737273620603E-3</v>
      </c>
      <c r="AA20" s="84"/>
      <c r="AB20" s="84">
        <v>3.036398994253404E-3</v>
      </c>
      <c r="AC20" s="84">
        <v>2.6087848960022896E-3</v>
      </c>
      <c r="AD20" s="84">
        <v>2.5023739555057128E-3</v>
      </c>
      <c r="AE20" s="84">
        <v>2.6128956009139831E-3</v>
      </c>
      <c r="AF20" s="84">
        <v>2.5636009138794011E-3</v>
      </c>
      <c r="AG20" s="84">
        <v>2.2494887099719844E-3</v>
      </c>
      <c r="AH20" s="84">
        <v>2.6411856912057739E-3</v>
      </c>
      <c r="AI20" s="84">
        <v>2.1660394225283979E-3</v>
      </c>
      <c r="AJ20" s="84">
        <v>2.6666294816731382E-3</v>
      </c>
      <c r="AK20" s="84">
        <v>2.395049249232594E-3</v>
      </c>
      <c r="AL20" s="84">
        <v>2.8735669417487421E-3</v>
      </c>
      <c r="AM20" s="93">
        <v>3.0572867259805246E-3</v>
      </c>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row>
    <row r="21" spans="1:131">
      <c r="A21" s="71" t="s">
        <v>506</v>
      </c>
      <c r="B21" s="71"/>
      <c r="C21" s="84">
        <v>0.114179434646312</v>
      </c>
      <c r="D21" s="84">
        <v>9.4553141516109079E-2</v>
      </c>
      <c r="E21" s="84">
        <v>1.8910628303221818E-2</v>
      </c>
      <c r="F21" s="84">
        <v>0.1134637698193309</v>
      </c>
      <c r="G21" s="84">
        <v>0.14460455411542061</v>
      </c>
      <c r="H21" s="84">
        <v>6.9269695287051486E-2</v>
      </c>
      <c r="I21" s="84">
        <v>8705.0932306349714</v>
      </c>
      <c r="J21" s="84">
        <v>47.188299962924575</v>
      </c>
      <c r="K21" s="84">
        <v>87.960293111858334</v>
      </c>
      <c r="L21" s="252">
        <v>0.47902844907472092</v>
      </c>
      <c r="M21" s="84">
        <v>1.0847072646662681E-3</v>
      </c>
      <c r="N21" s="84">
        <v>1.0514952932098688E-5</v>
      </c>
      <c r="O21" s="84">
        <v>8.5601800417661935E-3</v>
      </c>
      <c r="P21" s="84">
        <v>7.852428451420675E-3</v>
      </c>
      <c r="Q21" s="84">
        <v>8.6422570003630208E-3</v>
      </c>
      <c r="R21" s="84">
        <v>8.2151763844504171E-3</v>
      </c>
      <c r="S21" s="84">
        <v>8.4058880309851574E-3</v>
      </c>
      <c r="T21" s="84">
        <v>8.0471026760579531E-3</v>
      </c>
      <c r="U21" s="84">
        <v>7.1199936584139647E-3</v>
      </c>
      <c r="V21" s="84">
        <v>8.3786535662772228E-3</v>
      </c>
      <c r="W21" s="84">
        <v>8.6420014582591579E-3</v>
      </c>
      <c r="X21" s="84">
        <v>8.8228044495565153E-3</v>
      </c>
      <c r="Y21" s="84">
        <v>7.3884119599479199E-3</v>
      </c>
      <c r="Z21" s="84">
        <v>7.604401314533802E-3</v>
      </c>
      <c r="AA21" s="84"/>
      <c r="AB21" s="84">
        <v>2.4507005249087281E-3</v>
      </c>
      <c r="AC21" s="84">
        <v>1.8099829192867623E-3</v>
      </c>
      <c r="AD21" s="84">
        <v>1.4849267499739984E-3</v>
      </c>
      <c r="AE21" s="84">
        <v>1.1992489659343737E-3</v>
      </c>
      <c r="AF21" s="84">
        <v>1.0332597681775892E-3</v>
      </c>
      <c r="AG21" s="84">
        <v>9.0367397140339437E-4</v>
      </c>
      <c r="AH21" s="84">
        <v>8.8580434949158716E-4</v>
      </c>
      <c r="AI21" s="84">
        <v>9.2664522486638563E-4</v>
      </c>
      <c r="AJ21" s="84">
        <v>1.1922744522358348E-3</v>
      </c>
      <c r="AK21" s="84">
        <v>9.133300987017054E-4</v>
      </c>
      <c r="AL21" s="84">
        <v>1.4855288065408819E-3</v>
      </c>
      <c r="AM21" s="93">
        <v>2.214759822758755E-3</v>
      </c>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row>
    <row r="22" spans="1:131">
      <c r="A22" s="71"/>
      <c r="B22" s="71"/>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4"/>
  <dimension ref="A1:EA148"/>
  <sheetViews>
    <sheetView workbookViewId="0">
      <selection activeCell="A28" sqref="A28:EA148"/>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s>
  <sheetData>
    <row r="1" spans="1:23" ht="15">
      <c r="A1" s="143" t="s">
        <v>357</v>
      </c>
      <c r="B1" s="144"/>
      <c r="C1" s="144"/>
      <c r="D1" s="144"/>
      <c r="E1" s="144"/>
      <c r="F1" s="144"/>
      <c r="G1" s="239"/>
      <c r="H1" s="145"/>
      <c r="I1" s="146"/>
      <c r="J1" s="146"/>
      <c r="K1" s="146"/>
      <c r="L1" s="146"/>
      <c r="M1" s="146"/>
      <c r="N1" s="147"/>
      <c r="O1" s="148" t="e">
        <v>#REF!</v>
      </c>
      <c r="P1" s="147"/>
      <c r="Q1" s="147"/>
      <c r="R1" s="147"/>
      <c r="S1" s="145"/>
      <c r="T1" s="145"/>
      <c r="U1" s="145"/>
      <c r="V1" s="147"/>
      <c r="W1" s="145"/>
    </row>
    <row r="2" spans="1:23" ht="15">
      <c r="A2" s="149" t="s">
        <v>321</v>
      </c>
      <c r="B2" s="145" t="str">
        <f>'7PSourceSummary'!B3</f>
        <v>Advanced Rooftop Controller</v>
      </c>
      <c r="C2" s="145"/>
      <c r="D2" s="145"/>
      <c r="E2" s="145"/>
      <c r="F2" s="145"/>
      <c r="G2" s="239"/>
      <c r="H2" s="145"/>
      <c r="I2" s="146"/>
      <c r="J2" s="146"/>
      <c r="K2" s="146"/>
      <c r="L2" s="146"/>
      <c r="M2" s="146"/>
      <c r="N2" s="147"/>
      <c r="O2" s="147"/>
      <c r="P2" s="147"/>
      <c r="Q2" s="147"/>
      <c r="R2" s="147"/>
      <c r="S2" s="145"/>
      <c r="T2" s="145"/>
      <c r="U2" s="145"/>
      <c r="V2" s="147"/>
      <c r="W2" s="145"/>
    </row>
    <row r="3" spans="1:23" ht="15">
      <c r="A3" s="149" t="s">
        <v>358</v>
      </c>
      <c r="B3" s="71"/>
      <c r="C3" s="149">
        <v>2012</v>
      </c>
      <c r="D3" s="71"/>
      <c r="E3" s="71"/>
      <c r="F3" s="71"/>
      <c r="G3" s="239"/>
      <c r="H3" s="71"/>
      <c r="I3" s="71"/>
      <c r="J3" s="150"/>
      <c r="K3" s="151"/>
      <c r="L3" s="71"/>
      <c r="M3" s="71"/>
      <c r="N3" s="71"/>
      <c r="O3" s="71"/>
      <c r="P3" s="71"/>
      <c r="Q3" s="71"/>
      <c r="R3" s="71"/>
      <c r="S3" s="71"/>
      <c r="T3" s="71"/>
      <c r="U3" s="71"/>
      <c r="V3" s="71"/>
      <c r="W3" s="71"/>
    </row>
    <row r="4" spans="1:23">
      <c r="A4" s="71"/>
      <c r="B4" s="152" t="s">
        <v>455</v>
      </c>
      <c r="C4" s="71"/>
      <c r="D4" s="71"/>
      <c r="E4" s="71"/>
      <c r="F4" s="71"/>
      <c r="G4" s="71"/>
      <c r="H4" s="71"/>
      <c r="I4" s="71"/>
      <c r="J4" s="71"/>
      <c r="K4" s="71"/>
      <c r="L4" s="71"/>
      <c r="M4" s="71"/>
      <c r="N4" s="71"/>
      <c r="O4" s="71"/>
      <c r="P4" s="71"/>
      <c r="Q4" s="71"/>
      <c r="R4" s="71"/>
      <c r="S4" s="71"/>
      <c r="T4" s="71"/>
      <c r="U4" s="71"/>
      <c r="V4" s="71"/>
      <c r="W4" s="71"/>
    </row>
    <row r="5" spans="1:23">
      <c r="A5" s="153">
        <v>1</v>
      </c>
      <c r="B5" s="153">
        <v>2</v>
      </c>
      <c r="C5" s="153">
        <v>3</v>
      </c>
      <c r="D5" s="153">
        <v>4</v>
      </c>
      <c r="E5" s="153">
        <v>5</v>
      </c>
      <c r="F5" s="153">
        <v>6</v>
      </c>
      <c r="G5" s="153">
        <v>7</v>
      </c>
      <c r="H5" s="153">
        <v>8</v>
      </c>
      <c r="I5" s="153">
        <v>9</v>
      </c>
      <c r="J5" s="153">
        <v>10</v>
      </c>
      <c r="K5" s="153">
        <v>11</v>
      </c>
      <c r="L5" s="153">
        <v>12</v>
      </c>
      <c r="M5" s="153">
        <v>13</v>
      </c>
      <c r="N5" s="153">
        <v>14</v>
      </c>
      <c r="O5" s="153">
        <v>15</v>
      </c>
      <c r="P5" s="153">
        <v>16</v>
      </c>
      <c r="Q5" s="153">
        <v>17</v>
      </c>
      <c r="R5" s="153">
        <v>18</v>
      </c>
      <c r="S5" s="153">
        <v>19</v>
      </c>
      <c r="T5" s="153">
        <v>20</v>
      </c>
      <c r="U5" s="153">
        <v>21</v>
      </c>
      <c r="V5" s="153">
        <v>22</v>
      </c>
      <c r="W5" s="153">
        <v>23</v>
      </c>
    </row>
    <row r="6" spans="1:23">
      <c r="A6" s="154" t="s">
        <v>359</v>
      </c>
      <c r="B6" s="155"/>
      <c r="C6" s="155"/>
      <c r="D6" s="155"/>
      <c r="E6" s="155"/>
      <c r="F6" s="155"/>
      <c r="G6" s="156"/>
      <c r="H6" s="157"/>
      <c r="I6" s="406" t="s">
        <v>360</v>
      </c>
      <c r="J6" s="407"/>
      <c r="K6" s="407"/>
      <c r="L6" s="407"/>
      <c r="M6" s="407"/>
      <c r="N6" s="408"/>
      <c r="O6" s="409" t="s">
        <v>361</v>
      </c>
      <c r="P6" s="410"/>
      <c r="Q6" s="158" t="s">
        <v>362</v>
      </c>
      <c r="R6" s="411" t="s">
        <v>363</v>
      </c>
      <c r="S6" s="411"/>
      <c r="T6" s="411"/>
      <c r="U6" s="159"/>
      <c r="V6" s="159"/>
      <c r="W6" s="159"/>
    </row>
    <row r="7" spans="1:23" ht="25.5">
      <c r="A7" s="160" t="s">
        <v>364</v>
      </c>
      <c r="B7" s="160" t="s">
        <v>319</v>
      </c>
      <c r="C7" s="160" t="s">
        <v>365</v>
      </c>
      <c r="D7" s="160" t="s">
        <v>366</v>
      </c>
      <c r="E7" s="160" t="s">
        <v>367</v>
      </c>
      <c r="F7" s="161" t="s">
        <v>368</v>
      </c>
      <c r="G7" s="160" t="s">
        <v>326</v>
      </c>
      <c r="H7" s="162" t="s">
        <v>369</v>
      </c>
      <c r="I7" s="162" t="s">
        <v>370</v>
      </c>
      <c r="J7" s="162" t="s">
        <v>371</v>
      </c>
      <c r="K7" s="162" t="s">
        <v>372</v>
      </c>
      <c r="L7" s="162" t="s">
        <v>373</v>
      </c>
      <c r="M7" s="162" t="s">
        <v>374</v>
      </c>
      <c r="N7" s="162" t="s">
        <v>375</v>
      </c>
      <c r="O7" s="163" t="s">
        <v>376</v>
      </c>
      <c r="P7" s="162" t="s">
        <v>326</v>
      </c>
      <c r="Q7" s="164" t="s">
        <v>377</v>
      </c>
      <c r="R7" s="165" t="s">
        <v>378</v>
      </c>
      <c r="S7" s="165" t="s">
        <v>379</v>
      </c>
      <c r="T7" s="165" t="s">
        <v>380</v>
      </c>
      <c r="U7" s="166"/>
      <c r="V7" s="166"/>
      <c r="W7" s="166"/>
    </row>
    <row r="8" spans="1:23" ht="15">
      <c r="A8" s="93" t="str">
        <f>MMap!D11</f>
        <v>Advanced Rooftop Controller-Retro-Large Off</v>
      </c>
      <c r="B8" s="93" t="str">
        <f>A8</f>
        <v>Advanced Rooftop Controller-Retro-Large Off</v>
      </c>
      <c r="C8" s="170">
        <f>MMap!H11</f>
        <v>0.11506921726474252</v>
      </c>
      <c r="D8" s="20">
        <v>15</v>
      </c>
      <c r="E8" s="171">
        <f>MMap!I11</f>
        <v>8.6958816167838432E-2</v>
      </c>
      <c r="F8" s="167"/>
      <c r="G8" s="239" t="s">
        <v>752</v>
      </c>
      <c r="H8" s="20"/>
      <c r="I8" s="20"/>
      <c r="J8" s="20"/>
      <c r="K8" s="20"/>
      <c r="L8" s="20"/>
      <c r="M8" s="20"/>
      <c r="N8" s="20"/>
      <c r="O8" s="71"/>
      <c r="P8" s="94"/>
      <c r="Q8" s="168" t="s">
        <v>381</v>
      </c>
      <c r="R8" s="20"/>
      <c r="S8" s="20"/>
      <c r="T8" s="20"/>
      <c r="U8" s="166"/>
      <c r="V8" s="166"/>
      <c r="W8" s="166"/>
    </row>
    <row r="9" spans="1:23" ht="15">
      <c r="A9" s="93" t="str">
        <f>MMap!D12</f>
        <v>Advanced Rooftop Controller-Retro-Medium Off</v>
      </c>
      <c r="B9" s="93" t="str">
        <f t="shared" ref="B9:B25" si="0">A9</f>
        <v>Advanced Rooftop Controller-Retro-Medium Off</v>
      </c>
      <c r="C9" s="170">
        <f>MMap!H12</f>
        <v>0.38623376009711341</v>
      </c>
      <c r="D9" s="20">
        <v>15</v>
      </c>
      <c r="E9" s="171">
        <f>MMap!I12</f>
        <v>0.31606351396005627</v>
      </c>
      <c r="F9" s="167"/>
      <c r="G9" s="239" t="s">
        <v>752</v>
      </c>
      <c r="H9" s="71"/>
      <c r="I9" s="71"/>
      <c r="J9" s="71"/>
      <c r="K9" s="71"/>
      <c r="L9" s="71"/>
      <c r="M9" s="71"/>
      <c r="N9" s="71"/>
      <c r="O9" s="71"/>
      <c r="P9" s="94"/>
      <c r="Q9" s="169" t="s">
        <v>381</v>
      </c>
      <c r="R9" s="71"/>
      <c r="S9" s="71"/>
      <c r="T9" s="71"/>
      <c r="U9" s="71"/>
      <c r="V9" s="71"/>
      <c r="W9" s="71"/>
    </row>
    <row r="10" spans="1:23" ht="15">
      <c r="A10" s="93" t="str">
        <f>MMap!D13</f>
        <v>Advanced Rooftop Controller-Retro-Small Off</v>
      </c>
      <c r="B10" s="93" t="str">
        <f t="shared" si="0"/>
        <v>Advanced Rooftop Controller-Retro-Small Off</v>
      </c>
      <c r="C10" s="170">
        <f>MMap!H13</f>
        <v>0.26506590770984895</v>
      </c>
      <c r="D10" s="20">
        <v>15</v>
      </c>
      <c r="E10" s="171">
        <f>MMap!I13</f>
        <v>0.19999195139965231</v>
      </c>
      <c r="F10" s="167"/>
      <c r="G10" s="239" t="s">
        <v>752</v>
      </c>
      <c r="H10" s="71"/>
      <c r="I10" s="71"/>
      <c r="J10" s="71"/>
      <c r="K10" s="71"/>
      <c r="L10" s="71"/>
      <c r="M10" s="71"/>
      <c r="N10" s="71"/>
      <c r="O10" s="71"/>
      <c r="P10" s="94"/>
      <c r="Q10" s="169" t="s">
        <v>381</v>
      </c>
      <c r="R10" s="71"/>
      <c r="S10" s="71"/>
      <c r="T10" s="71"/>
      <c r="U10" s="71"/>
      <c r="V10" s="71"/>
      <c r="W10" s="71"/>
    </row>
    <row r="11" spans="1:23" ht="15">
      <c r="A11" s="93" t="str">
        <f>MMap!D14</f>
        <v>Advanced Rooftop Controller-Retro-Xlarge Ret</v>
      </c>
      <c r="B11" s="93" t="str">
        <f t="shared" si="0"/>
        <v>Advanced Rooftop Controller-Retro-Xlarge Ret</v>
      </c>
      <c r="C11" s="170">
        <f>MMap!H14</f>
        <v>0.93646687385369998</v>
      </c>
      <c r="D11" s="20">
        <v>15</v>
      </c>
      <c r="E11" s="171">
        <f>MMap!I14</f>
        <v>0.1811789556978993</v>
      </c>
      <c r="F11" s="71"/>
      <c r="G11" s="239" t="s">
        <v>752</v>
      </c>
      <c r="H11" s="71"/>
      <c r="I11" s="71"/>
      <c r="J11" s="71"/>
      <c r="K11" s="71"/>
      <c r="L11" s="71"/>
      <c r="M11" s="71"/>
      <c r="N11" s="71"/>
      <c r="O11" s="71"/>
      <c r="P11" s="71"/>
      <c r="Q11" s="169" t="s">
        <v>381</v>
      </c>
      <c r="R11" s="71"/>
      <c r="S11" s="71"/>
      <c r="T11" s="71"/>
      <c r="U11" s="71"/>
      <c r="V11" s="71"/>
      <c r="W11" s="71"/>
    </row>
    <row r="12" spans="1:23" ht="15">
      <c r="A12" s="93" t="str">
        <f>MMap!D15</f>
        <v>Advanced Rooftop Controller-Retro-Large Ret</v>
      </c>
      <c r="B12" s="93" t="str">
        <f t="shared" si="0"/>
        <v>Advanced Rooftop Controller-Retro-Large Ret</v>
      </c>
      <c r="C12" s="170">
        <f>MMap!H15</f>
        <v>1.1497311538054293</v>
      </c>
      <c r="D12" s="20">
        <v>15</v>
      </c>
      <c r="E12" s="171">
        <f>MMap!I15</f>
        <v>0.18359410174555876</v>
      </c>
      <c r="F12" s="71"/>
      <c r="G12" s="239" t="s">
        <v>752</v>
      </c>
      <c r="H12" s="71"/>
      <c r="I12" s="71"/>
      <c r="J12" s="71"/>
      <c r="K12" s="71"/>
      <c r="L12" s="71"/>
      <c r="M12" s="71"/>
      <c r="N12" s="71"/>
      <c r="O12" s="71"/>
      <c r="P12" s="71"/>
      <c r="Q12" s="169" t="s">
        <v>381</v>
      </c>
      <c r="R12" s="71"/>
      <c r="S12" s="71"/>
      <c r="T12" s="71"/>
      <c r="U12" s="71"/>
      <c r="V12" s="71"/>
      <c r="W12" s="71"/>
    </row>
    <row r="13" spans="1:23" ht="15">
      <c r="A13" s="93" t="str">
        <f>MMap!D16</f>
        <v>Advanced Rooftop Controller-Retro-Medium Ret</v>
      </c>
      <c r="B13" s="93" t="str">
        <f t="shared" si="0"/>
        <v>Advanced Rooftop Controller-Retro-Medium Ret</v>
      </c>
      <c r="C13" s="170">
        <f>MMap!H16</f>
        <v>0.39486164846664223</v>
      </c>
      <c r="D13" s="20">
        <v>15</v>
      </c>
      <c r="E13" s="171">
        <f>MMap!I16</f>
        <v>0.11606750141743268</v>
      </c>
      <c r="F13" s="71"/>
      <c r="G13" s="239" t="s">
        <v>752</v>
      </c>
      <c r="H13" s="71"/>
      <c r="I13" s="71"/>
      <c r="J13" s="71"/>
      <c r="K13" s="71"/>
      <c r="L13" s="71"/>
      <c r="M13" s="71"/>
      <c r="N13" s="71"/>
      <c r="O13" s="71"/>
      <c r="P13" s="71"/>
      <c r="Q13" s="169" t="s">
        <v>381</v>
      </c>
      <c r="R13" s="71"/>
      <c r="S13" s="71"/>
      <c r="T13" s="71"/>
      <c r="U13" s="71"/>
      <c r="V13" s="71"/>
      <c r="W13" s="71"/>
    </row>
    <row r="14" spans="1:23" ht="15">
      <c r="A14" s="93" t="str">
        <f>MMap!D17</f>
        <v>Advanced Rooftop Controller-Retro-Small Ret</v>
      </c>
      <c r="B14" s="93" t="str">
        <f t="shared" si="0"/>
        <v>Advanced Rooftop Controller-Retro-Small Ret</v>
      </c>
      <c r="C14" s="170">
        <f>MMap!H17</f>
        <v>2.6514568417845316E-2</v>
      </c>
      <c r="D14" s="20">
        <v>15</v>
      </c>
      <c r="E14" s="171">
        <f>MMap!I17</f>
        <v>2.1088272602037467E-2</v>
      </c>
      <c r="G14" s="239" t="s">
        <v>752</v>
      </c>
      <c r="Q14" s="169" t="s">
        <v>381</v>
      </c>
    </row>
    <row r="15" spans="1:23" ht="15">
      <c r="A15" s="93" t="str">
        <f>MMap!D18</f>
        <v>Advanced Rooftop Controller-Retro-School K-12</v>
      </c>
      <c r="B15" s="93" t="str">
        <f t="shared" si="0"/>
        <v>Advanced Rooftop Controller-Retro-School K-12</v>
      </c>
      <c r="C15" s="170">
        <f>MMap!H18</f>
        <v>0.10611853117726823</v>
      </c>
      <c r="D15" s="20">
        <v>15</v>
      </c>
      <c r="E15" s="171">
        <f>MMap!I18</f>
        <v>9.4553141516109079E-2</v>
      </c>
      <c r="G15" s="239" t="s">
        <v>781</v>
      </c>
      <c r="Q15" s="169" t="s">
        <v>381</v>
      </c>
    </row>
    <row r="16" spans="1:23" ht="15">
      <c r="A16" s="93" t="str">
        <f>MMap!D19</f>
        <v>Advanced Rooftop Controller-Retro-University</v>
      </c>
      <c r="B16" s="93" t="str">
        <f t="shared" si="0"/>
        <v>Advanced Rooftop Controller-Retro-University</v>
      </c>
      <c r="C16" s="170">
        <f>MMap!H19</f>
        <v>0.10611853117726823</v>
      </c>
      <c r="D16" s="20">
        <v>15</v>
      </c>
      <c r="E16" s="171">
        <f>MMap!I19</f>
        <v>9.4553141516109079E-2</v>
      </c>
      <c r="G16" s="239" t="s">
        <v>752</v>
      </c>
      <c r="Q16" s="169" t="s">
        <v>381</v>
      </c>
    </row>
    <row r="17" spans="1:131" ht="15">
      <c r="A17" s="93" t="str">
        <f>MMap!D20</f>
        <v>Advanced Rooftop Controller-Retro-Warehouse</v>
      </c>
      <c r="B17" s="93" t="str">
        <f t="shared" si="0"/>
        <v>Advanced Rooftop Controller-Retro-Warehouse</v>
      </c>
      <c r="C17" s="170">
        <f>MMap!H20</f>
        <v>4.6477344354489553E-2</v>
      </c>
      <c r="D17" s="20">
        <v>15</v>
      </c>
      <c r="E17" s="171">
        <f>MMap!I20</f>
        <v>3.7784319235833738E-2</v>
      </c>
      <c r="G17" s="239" t="s">
        <v>752</v>
      </c>
      <c r="Q17" s="169" t="s">
        <v>381</v>
      </c>
    </row>
    <row r="18" spans="1:131" ht="15">
      <c r="A18" s="93" t="str">
        <f>MMap!D21</f>
        <v>Advanced Rooftop Controller-Retro-Supermarket</v>
      </c>
      <c r="B18" s="93" t="str">
        <f t="shared" si="0"/>
        <v>Advanced Rooftop Controller-Retro-Supermarket</v>
      </c>
      <c r="C18" s="170">
        <f>MMap!H21</f>
        <v>0.91933584896114628</v>
      </c>
      <c r="D18" s="20">
        <v>15</v>
      </c>
      <c r="E18" s="171">
        <f>MMap!I21</f>
        <v>0.29228310942328339</v>
      </c>
      <c r="G18" s="239" t="s">
        <v>752</v>
      </c>
      <c r="Q18" s="169" t="s">
        <v>381</v>
      </c>
    </row>
    <row r="19" spans="1:131" ht="15">
      <c r="A19" s="93" t="str">
        <f>MMap!D22</f>
        <v>Advanced Rooftop Controller-Retro-MiniMart</v>
      </c>
      <c r="B19" s="93" t="str">
        <f t="shared" si="0"/>
        <v>Advanced Rooftop Controller-Retro-MiniMart</v>
      </c>
      <c r="C19" s="170">
        <f>MMap!H22</f>
        <v>0.91933584896114628</v>
      </c>
      <c r="D19" s="20">
        <v>15</v>
      </c>
      <c r="E19" s="171">
        <f>MMap!I22</f>
        <v>0.29228310942328339</v>
      </c>
      <c r="G19" s="239" t="s">
        <v>752</v>
      </c>
      <c r="Q19" s="169" t="s">
        <v>381</v>
      </c>
    </row>
    <row r="20" spans="1:131" ht="15">
      <c r="A20" s="93" t="str">
        <f>MMap!D23</f>
        <v>Advanced Rooftop Controller-Retro-Restaurant</v>
      </c>
      <c r="B20" s="93" t="str">
        <f t="shared" si="0"/>
        <v>Advanced Rooftop Controller-Retro-Restaurant</v>
      </c>
      <c r="C20" s="170">
        <f>MMap!H23</f>
        <v>2.0063752897795508</v>
      </c>
      <c r="D20" s="20">
        <v>15</v>
      </c>
      <c r="E20" s="171">
        <f>MMap!I23</f>
        <v>0.73229385146975234</v>
      </c>
      <c r="G20" s="239" t="s">
        <v>752</v>
      </c>
      <c r="Q20" s="169" t="s">
        <v>381</v>
      </c>
    </row>
    <row r="21" spans="1:131" ht="15">
      <c r="A21" s="93" t="str">
        <f>MMap!D24</f>
        <v>Advanced Rooftop Controller-Retro-Lodging</v>
      </c>
      <c r="B21" s="93" t="str">
        <f t="shared" si="0"/>
        <v>Advanced Rooftop Controller-Retro-Lodging</v>
      </c>
      <c r="C21" s="170">
        <f>MMap!H24</f>
        <v>0.11384121765439638</v>
      </c>
      <c r="D21" s="20">
        <v>15</v>
      </c>
      <c r="E21" s="171">
        <f>MMap!I24</f>
        <v>6.186975639218098E-2</v>
      </c>
      <c r="G21" s="239" t="s">
        <v>752</v>
      </c>
      <c r="Q21" s="169" t="s">
        <v>381</v>
      </c>
    </row>
    <row r="22" spans="1:131" ht="15">
      <c r="A22" s="93" t="str">
        <f>MMap!D25</f>
        <v>Advanced Rooftop Controller-Retro-Hospital</v>
      </c>
      <c r="B22" s="93" t="str">
        <f t="shared" si="0"/>
        <v>Advanced Rooftop Controller-Retro-Hospital</v>
      </c>
      <c r="C22" s="170">
        <f>MMap!H25</f>
        <v>0.11384121765439638</v>
      </c>
      <c r="D22" s="20">
        <v>15</v>
      </c>
      <c r="E22" s="171">
        <f>MMap!I25</f>
        <v>6.186975639218098E-2</v>
      </c>
      <c r="G22" s="239" t="s">
        <v>782</v>
      </c>
      <c r="Q22" s="169" t="s">
        <v>381</v>
      </c>
    </row>
    <row r="23" spans="1:131" ht="15">
      <c r="A23" s="93" t="str">
        <f>MMap!D26</f>
        <v>Advanced Rooftop Controller-Retro-Residential Care</v>
      </c>
      <c r="B23" s="93" t="str">
        <f t="shared" si="0"/>
        <v>Advanced Rooftop Controller-Retro-Residential Care</v>
      </c>
      <c r="C23" s="170">
        <f>MMap!H26</f>
        <v>0.70584176954140854</v>
      </c>
      <c r="D23" s="20">
        <v>15</v>
      </c>
      <c r="E23" s="171">
        <f>MMap!I26</f>
        <v>0.21500550974150753</v>
      </c>
      <c r="G23" s="239" t="s">
        <v>782</v>
      </c>
      <c r="Q23" s="169" t="s">
        <v>381</v>
      </c>
    </row>
    <row r="24" spans="1:131" ht="15">
      <c r="A24" s="93" t="str">
        <f>MMap!D27</f>
        <v>Advanced Rooftop Controller-Retro-Assembly</v>
      </c>
      <c r="B24" s="93" t="str">
        <f t="shared" si="0"/>
        <v>Advanced Rooftop Controller-Retro-Assembly</v>
      </c>
      <c r="C24" s="170">
        <f>MMap!H27</f>
        <v>0.70549381285231594</v>
      </c>
      <c r="D24" s="20">
        <v>15</v>
      </c>
      <c r="E24" s="171">
        <f>MMap!I27</f>
        <v>0.1798317315436718</v>
      </c>
      <c r="G24" s="239" t="s">
        <v>752</v>
      </c>
      <c r="Q24" s="169" t="s">
        <v>381</v>
      </c>
    </row>
    <row r="25" spans="1:131" ht="15">
      <c r="A25" s="93" t="str">
        <f>MMap!D28</f>
        <v>Advanced Rooftop Controller-Retro-Other</v>
      </c>
      <c r="B25" s="93" t="str">
        <f t="shared" si="0"/>
        <v>Advanced Rooftop Controller-Retro-Other</v>
      </c>
      <c r="C25" s="170">
        <f>MMap!H28</f>
        <v>0.14122456218221954</v>
      </c>
      <c r="D25" s="20">
        <v>15</v>
      </c>
      <c r="E25" s="171">
        <f>MMap!I28</f>
        <v>6.6713799252344441E-2</v>
      </c>
      <c r="G25" s="239" t="s">
        <v>752</v>
      </c>
      <c r="Q25" s="169" t="s">
        <v>381</v>
      </c>
    </row>
    <row r="28" spans="1:131">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row>
    <row r="29" spans="1:131">
      <c r="A29" s="253" t="s">
        <v>508</v>
      </c>
      <c r="B29" s="254"/>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row>
    <row r="30" spans="1:131">
      <c r="A30" s="71" t="s">
        <v>509</v>
      </c>
      <c r="B30" s="71" t="s">
        <v>510</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row>
    <row r="31" spans="1:131">
      <c r="A31" s="71" t="s">
        <v>511</v>
      </c>
      <c r="B31" s="71" t="s">
        <v>791</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row>
    <row r="32" spans="1:13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row>
    <row r="33" spans="1:131" ht="13.5" thickBot="1">
      <c r="A33" s="240" t="s">
        <v>512</v>
      </c>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4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row>
    <row r="34" spans="1:131">
      <c r="A34" s="71"/>
      <c r="B34" s="256" t="s">
        <v>513</v>
      </c>
      <c r="C34" s="257"/>
      <c r="D34" s="257" t="s">
        <v>513</v>
      </c>
      <c r="E34" s="258"/>
      <c r="F34" s="71"/>
      <c r="G34" s="256" t="s">
        <v>514</v>
      </c>
      <c r="H34" s="257"/>
      <c r="I34" s="257"/>
      <c r="J34" s="257"/>
      <c r="K34" s="257"/>
      <c r="L34" s="257"/>
      <c r="M34" s="257"/>
      <c r="N34" s="257"/>
      <c r="O34" s="258"/>
      <c r="P34" s="71"/>
      <c r="Q34" s="256" t="s">
        <v>515</v>
      </c>
      <c r="R34" s="257"/>
      <c r="S34" s="257"/>
      <c r="T34" s="257"/>
      <c r="U34" s="258"/>
      <c r="V34" s="71"/>
      <c r="W34" s="256" t="s">
        <v>516</v>
      </c>
      <c r="X34" s="258"/>
      <c r="Y34" s="71"/>
      <c r="Z34" s="256" t="s">
        <v>517</v>
      </c>
      <c r="AA34" s="257"/>
      <c r="AB34" s="258"/>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row>
    <row r="35" spans="1:131">
      <c r="A35" s="71"/>
      <c r="B35" s="259" t="s">
        <v>518</v>
      </c>
      <c r="C35" s="260" t="s">
        <v>519</v>
      </c>
      <c r="D35" s="260" t="s">
        <v>518</v>
      </c>
      <c r="E35" s="261" t="s">
        <v>519</v>
      </c>
      <c r="F35" s="71"/>
      <c r="G35" s="259" t="s">
        <v>520</v>
      </c>
      <c r="H35" s="260" t="s">
        <v>778</v>
      </c>
      <c r="I35" s="260"/>
      <c r="J35" s="260"/>
      <c r="K35" s="260" t="s">
        <v>521</v>
      </c>
      <c r="L35" s="260"/>
      <c r="M35" s="260"/>
      <c r="N35" s="260"/>
      <c r="O35" s="261"/>
      <c r="P35" s="71"/>
      <c r="Q35" s="259"/>
      <c r="R35" s="260" t="s">
        <v>522</v>
      </c>
      <c r="S35" s="260" t="s">
        <v>523</v>
      </c>
      <c r="T35" s="260" t="s">
        <v>524</v>
      </c>
      <c r="U35" s="261" t="s">
        <v>525</v>
      </c>
      <c r="V35" s="71"/>
      <c r="W35" s="259" t="s">
        <v>526</v>
      </c>
      <c r="X35" s="261">
        <v>20</v>
      </c>
      <c r="Y35" s="71"/>
      <c r="Z35" s="259"/>
      <c r="AA35" s="260" t="s">
        <v>519</v>
      </c>
      <c r="AB35" s="261" t="s">
        <v>527</v>
      </c>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row>
    <row r="36" spans="1:131">
      <c r="A36" s="71"/>
      <c r="B36" s="259" t="s">
        <v>528</v>
      </c>
      <c r="C36" s="260" t="s">
        <v>529</v>
      </c>
      <c r="D36" s="260" t="s">
        <v>528</v>
      </c>
      <c r="E36" s="261" t="s">
        <v>529</v>
      </c>
      <c r="F36" s="71"/>
      <c r="G36" s="259" t="s">
        <v>530</v>
      </c>
      <c r="H36" s="260" t="s">
        <v>531</v>
      </c>
      <c r="I36" s="260"/>
      <c r="J36" s="260"/>
      <c r="K36" s="260" t="s">
        <v>532</v>
      </c>
      <c r="L36" s="260"/>
      <c r="M36" s="260"/>
      <c r="N36" s="260"/>
      <c r="O36" s="261"/>
      <c r="P36" s="71"/>
      <c r="Q36" s="259" t="s">
        <v>533</v>
      </c>
      <c r="R36" s="260">
        <v>6.8012888465852586E-2</v>
      </c>
      <c r="S36" s="260">
        <v>4.387844424080023E-2</v>
      </c>
      <c r="T36" s="260">
        <v>5.3289007766645871E-2</v>
      </c>
      <c r="U36" s="261">
        <v>5.447903102274565E-2</v>
      </c>
      <c r="V36" s="71"/>
      <c r="W36" s="259" t="s">
        <v>534</v>
      </c>
      <c r="X36" s="261">
        <v>2016</v>
      </c>
      <c r="Y36" s="71"/>
      <c r="Z36" s="259" t="s">
        <v>535</v>
      </c>
      <c r="AA36" s="260">
        <v>4.03890184699085E-3</v>
      </c>
      <c r="AB36" s="261">
        <v>0.01</v>
      </c>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row>
    <row r="37" spans="1:131">
      <c r="A37" s="71"/>
      <c r="B37" s="259" t="s">
        <v>536</v>
      </c>
      <c r="C37" s="260" t="s">
        <v>537</v>
      </c>
      <c r="D37" s="260" t="s">
        <v>536</v>
      </c>
      <c r="E37" s="261" t="s">
        <v>537</v>
      </c>
      <c r="F37" s="71"/>
      <c r="G37" s="259" t="s">
        <v>538</v>
      </c>
      <c r="H37" s="260" t="s">
        <v>539</v>
      </c>
      <c r="I37" s="260"/>
      <c r="J37" s="260"/>
      <c r="K37" s="260" t="s">
        <v>540</v>
      </c>
      <c r="L37" s="260"/>
      <c r="M37" s="260"/>
      <c r="N37" s="260"/>
      <c r="O37" s="261"/>
      <c r="P37" s="71"/>
      <c r="Q37" s="259" t="s">
        <v>541</v>
      </c>
      <c r="R37" s="260">
        <v>12</v>
      </c>
      <c r="S37" s="260">
        <v>12</v>
      </c>
      <c r="T37" s="260">
        <v>1</v>
      </c>
      <c r="U37" s="261">
        <v>1</v>
      </c>
      <c r="V37" s="71"/>
      <c r="W37" s="259" t="s">
        <v>542</v>
      </c>
      <c r="X37" s="261">
        <v>2016</v>
      </c>
      <c r="Y37" s="71"/>
      <c r="Z37" s="259" t="s">
        <v>543</v>
      </c>
      <c r="AA37" s="260">
        <v>26</v>
      </c>
      <c r="AB37" s="261">
        <v>0</v>
      </c>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row>
    <row r="38" spans="1:131" ht="13.5" thickBot="1">
      <c r="A38" s="71"/>
      <c r="B38" s="262" t="s">
        <v>544</v>
      </c>
      <c r="C38" s="263" t="s">
        <v>537</v>
      </c>
      <c r="D38" s="263" t="s">
        <v>544</v>
      </c>
      <c r="E38" s="264" t="s">
        <v>537</v>
      </c>
      <c r="F38" s="71"/>
      <c r="G38" s="259" t="s">
        <v>545</v>
      </c>
      <c r="H38" s="260" t="s">
        <v>546</v>
      </c>
      <c r="I38" s="260"/>
      <c r="J38" s="260"/>
      <c r="K38" s="260" t="s">
        <v>532</v>
      </c>
      <c r="L38" s="260"/>
      <c r="M38" s="260"/>
      <c r="N38" s="260"/>
      <c r="O38" s="261"/>
      <c r="P38" s="71"/>
      <c r="Q38" s="259"/>
      <c r="R38" s="260" t="s">
        <v>522</v>
      </c>
      <c r="S38" s="260" t="s">
        <v>523</v>
      </c>
      <c r="T38" s="260" t="s">
        <v>524</v>
      </c>
      <c r="U38" s="261" t="s">
        <v>525</v>
      </c>
      <c r="V38" s="71"/>
      <c r="W38" s="259" t="s">
        <v>547</v>
      </c>
      <c r="X38" s="261">
        <v>2012</v>
      </c>
      <c r="Y38" s="71"/>
      <c r="Z38" s="259" t="s">
        <v>548</v>
      </c>
      <c r="AA38" s="260">
        <v>0.9</v>
      </c>
      <c r="AB38" s="261" t="s">
        <v>549</v>
      </c>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row>
    <row r="39" spans="1:131">
      <c r="A39" s="71"/>
      <c r="B39" s="71"/>
      <c r="C39" s="71"/>
      <c r="D39" s="71"/>
      <c r="E39" s="71"/>
      <c r="F39" s="71"/>
      <c r="G39" s="259" t="s">
        <v>550</v>
      </c>
      <c r="H39" s="260" t="s">
        <v>539</v>
      </c>
      <c r="I39" s="260"/>
      <c r="J39" s="260"/>
      <c r="K39" s="260"/>
      <c r="L39" s="260"/>
      <c r="M39" s="260"/>
      <c r="N39" s="260"/>
      <c r="O39" s="261"/>
      <c r="P39" s="71"/>
      <c r="Q39" s="259" t="s">
        <v>551</v>
      </c>
      <c r="R39" s="260">
        <v>0.35</v>
      </c>
      <c r="S39" s="260">
        <v>0.19500000000000001</v>
      </c>
      <c r="T39" s="260">
        <v>0.45499999999999996</v>
      </c>
      <c r="U39" s="261">
        <v>0</v>
      </c>
      <c r="V39" s="71"/>
      <c r="W39" s="259" t="s">
        <v>552</v>
      </c>
      <c r="X39" s="261">
        <v>0.04</v>
      </c>
      <c r="Y39" s="71"/>
      <c r="Z39" s="259" t="s">
        <v>553</v>
      </c>
      <c r="AA39" s="260">
        <v>4.7399348199455904E-2</v>
      </c>
      <c r="AB39" s="261">
        <v>0</v>
      </c>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row>
    <row r="40" spans="1:131">
      <c r="A40" s="71"/>
      <c r="B40" s="71" t="s">
        <v>554</v>
      </c>
      <c r="C40" s="71" t="s">
        <v>519</v>
      </c>
      <c r="D40" s="71"/>
      <c r="E40" s="71"/>
      <c r="F40" s="71"/>
      <c r="G40" s="259" t="s">
        <v>555</v>
      </c>
      <c r="H40" s="260" t="s">
        <v>556</v>
      </c>
      <c r="I40" s="260"/>
      <c r="J40" s="260"/>
      <c r="K40" s="260" t="s">
        <v>557</v>
      </c>
      <c r="L40" s="260"/>
      <c r="M40" s="260"/>
      <c r="N40" s="260"/>
      <c r="O40" s="261"/>
      <c r="P40" s="71"/>
      <c r="Q40" s="259" t="s">
        <v>558</v>
      </c>
      <c r="R40" s="260">
        <v>1</v>
      </c>
      <c r="S40" s="260">
        <v>0</v>
      </c>
      <c r="T40" s="260">
        <v>0</v>
      </c>
      <c r="U40" s="261">
        <v>0</v>
      </c>
      <c r="V40" s="71"/>
      <c r="W40" s="259" t="s">
        <v>559</v>
      </c>
      <c r="X40" s="261">
        <v>0</v>
      </c>
      <c r="Y40" s="71"/>
      <c r="Z40" s="259" t="s">
        <v>560</v>
      </c>
      <c r="AA40" s="260">
        <v>31</v>
      </c>
      <c r="AB40" s="261">
        <v>0</v>
      </c>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row>
    <row r="41" spans="1:131">
      <c r="A41" s="71"/>
      <c r="B41" s="71" t="s">
        <v>561</v>
      </c>
      <c r="C41" s="71" t="s">
        <v>562</v>
      </c>
      <c r="D41" s="71"/>
      <c r="E41" s="71"/>
      <c r="F41" s="71"/>
      <c r="G41" s="259" t="s">
        <v>563</v>
      </c>
      <c r="H41" s="260" t="s">
        <v>557</v>
      </c>
      <c r="I41" s="260"/>
      <c r="J41" s="260"/>
      <c r="K41" s="260" t="s">
        <v>564</v>
      </c>
      <c r="L41" s="260"/>
      <c r="M41" s="260"/>
      <c r="N41" s="260"/>
      <c r="O41" s="261"/>
      <c r="P41" s="71"/>
      <c r="Q41" s="259" t="s">
        <v>565</v>
      </c>
      <c r="R41" s="260">
        <v>1</v>
      </c>
      <c r="S41" s="260">
        <v>0</v>
      </c>
      <c r="T41" s="260">
        <v>0</v>
      </c>
      <c r="U41" s="261">
        <v>0</v>
      </c>
      <c r="V41" s="71"/>
      <c r="W41" s="259" t="s">
        <v>566</v>
      </c>
      <c r="X41" s="261">
        <v>0.2</v>
      </c>
      <c r="Y41" s="71"/>
      <c r="Z41" s="259" t="s">
        <v>567</v>
      </c>
      <c r="AA41" s="260">
        <v>0.7</v>
      </c>
      <c r="AB41" s="261" t="s">
        <v>549</v>
      </c>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row>
    <row r="42" spans="1:131">
      <c r="A42" s="71"/>
      <c r="B42" s="71" t="s">
        <v>568</v>
      </c>
      <c r="C42" s="71" t="s">
        <v>569</v>
      </c>
      <c r="D42" s="71"/>
      <c r="E42" s="71"/>
      <c r="F42" s="71"/>
      <c r="G42" s="259" t="s">
        <v>570</v>
      </c>
      <c r="H42" s="260" t="s">
        <v>564</v>
      </c>
      <c r="I42" s="260"/>
      <c r="J42" s="260"/>
      <c r="K42" s="260" t="s">
        <v>571</v>
      </c>
      <c r="L42" s="260"/>
      <c r="M42" s="260"/>
      <c r="N42" s="260"/>
      <c r="O42" s="261"/>
      <c r="P42" s="71"/>
      <c r="Q42" s="259" t="s">
        <v>572</v>
      </c>
      <c r="R42" s="260"/>
      <c r="S42" s="260">
        <v>0.3</v>
      </c>
      <c r="T42" s="260">
        <v>0.7</v>
      </c>
      <c r="U42" s="261">
        <v>0</v>
      </c>
      <c r="V42" s="71"/>
      <c r="W42" s="259" t="s">
        <v>573</v>
      </c>
      <c r="X42" s="261">
        <v>0</v>
      </c>
      <c r="Y42" s="71"/>
      <c r="Z42" s="259" t="s">
        <v>574</v>
      </c>
      <c r="AA42" s="260">
        <v>0</v>
      </c>
      <c r="AB42" s="261">
        <v>0</v>
      </c>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row>
    <row r="43" spans="1:131" ht="13.5" thickBot="1">
      <c r="A43" s="71"/>
      <c r="B43" s="71" t="s">
        <v>575</v>
      </c>
      <c r="C43" s="71" t="s">
        <v>576</v>
      </c>
      <c r="D43" s="71"/>
      <c r="E43" s="71"/>
      <c r="F43" s="71"/>
      <c r="G43" s="262" t="s">
        <v>577</v>
      </c>
      <c r="H43" s="263" t="s">
        <v>571</v>
      </c>
      <c r="I43" s="263"/>
      <c r="J43" s="263"/>
      <c r="K43" s="263"/>
      <c r="L43" s="263"/>
      <c r="M43" s="263"/>
      <c r="N43" s="263"/>
      <c r="O43" s="264"/>
      <c r="P43" s="71"/>
      <c r="Q43" s="262" t="s">
        <v>578</v>
      </c>
      <c r="R43" s="263"/>
      <c r="S43" s="263">
        <v>20</v>
      </c>
      <c r="T43" s="263"/>
      <c r="U43" s="264"/>
      <c r="V43" s="71"/>
      <c r="W43" s="262" t="s">
        <v>579</v>
      </c>
      <c r="X43" s="264">
        <v>2018</v>
      </c>
      <c r="Y43" s="71"/>
      <c r="Z43" s="262" t="s">
        <v>580</v>
      </c>
      <c r="AA43" s="263">
        <v>0</v>
      </c>
      <c r="AB43" s="264">
        <v>0</v>
      </c>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row>
    <row r="44" spans="1:13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row>
    <row r="45" spans="1:13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row>
    <row r="46" spans="1:13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row>
    <row r="47" spans="1:13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row>
    <row r="48" spans="1:13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row>
    <row r="49" spans="1:13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row>
    <row r="50" spans="1:13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row>
    <row r="51" spans="1:131" ht="13.5" thickBot="1">
      <c r="A51" s="240" t="s">
        <v>581</v>
      </c>
      <c r="B51" s="241"/>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row>
    <row r="52" spans="1:131" ht="26.25" thickBot="1">
      <c r="A52" s="265" t="s">
        <v>582</v>
      </c>
      <c r="B52" s="266"/>
      <c r="C52" s="267" t="s">
        <v>583</v>
      </c>
      <c r="D52" s="268"/>
      <c r="E52" s="268"/>
      <c r="F52" s="268"/>
      <c r="G52" s="268"/>
      <c r="H52" s="268"/>
      <c r="I52" s="268"/>
      <c r="J52" s="268"/>
      <c r="K52" s="269"/>
      <c r="L52" s="267" t="s">
        <v>43</v>
      </c>
      <c r="M52" s="268"/>
      <c r="N52" s="268"/>
      <c r="O52" s="268"/>
      <c r="P52" s="268"/>
      <c r="Q52" s="269"/>
      <c r="R52" s="267" t="s">
        <v>584</v>
      </c>
      <c r="S52" s="268"/>
      <c r="T52" s="268"/>
      <c r="U52" s="269"/>
      <c r="V52" s="267" t="s">
        <v>585</v>
      </c>
      <c r="W52" s="268"/>
      <c r="X52" s="268"/>
      <c r="Y52" s="269"/>
      <c r="Z52" s="267" t="s">
        <v>586</v>
      </c>
      <c r="AA52" s="268"/>
      <c r="AB52" s="268"/>
      <c r="AC52" s="269"/>
      <c r="AD52" s="267" t="s">
        <v>587</v>
      </c>
      <c r="AE52" s="268"/>
      <c r="AF52" s="268"/>
      <c r="AG52" s="269"/>
      <c r="AH52" s="267" t="s">
        <v>588</v>
      </c>
      <c r="AI52" s="268"/>
      <c r="AJ52" s="268"/>
      <c r="AK52" s="268"/>
      <c r="AL52" s="269"/>
      <c r="AM52" s="267" t="s">
        <v>589</v>
      </c>
      <c r="AN52" s="268"/>
      <c r="AO52" s="268"/>
      <c r="AP52" s="268"/>
      <c r="AQ52" s="268"/>
      <c r="AR52" s="268"/>
      <c r="AS52" s="269"/>
      <c r="AT52" s="267" t="s">
        <v>590</v>
      </c>
      <c r="AU52" s="268"/>
      <c r="AV52" s="268"/>
      <c r="AW52" s="268"/>
      <c r="AX52" s="268"/>
      <c r="AY52" s="268"/>
      <c r="AZ52" s="269"/>
      <c r="BA52" s="267" t="s">
        <v>591</v>
      </c>
      <c r="BB52" s="268"/>
      <c r="BC52" s="268"/>
      <c r="BD52" s="268"/>
      <c r="BE52" s="268"/>
      <c r="BF52" s="269"/>
      <c r="BG52" s="267" t="s">
        <v>592</v>
      </c>
      <c r="BH52" s="269"/>
      <c r="BI52" s="267" t="s">
        <v>593</v>
      </c>
      <c r="BJ52" s="268"/>
      <c r="BK52" s="268"/>
      <c r="BL52" s="268"/>
      <c r="BM52" s="269"/>
      <c r="BN52" s="267" t="s">
        <v>594</v>
      </c>
      <c r="BO52" s="268"/>
      <c r="BP52" s="268"/>
      <c r="BQ52" s="268"/>
      <c r="BR52" s="268"/>
      <c r="BS52" s="268"/>
      <c r="BT52" s="268"/>
      <c r="BU52" s="268"/>
      <c r="BV52" s="268"/>
      <c r="BW52" s="268"/>
      <c r="BX52" s="268"/>
      <c r="BY52" s="268"/>
      <c r="BZ52" s="268"/>
      <c r="CA52" s="268"/>
      <c r="CB52" s="268"/>
      <c r="CC52" s="269"/>
      <c r="CD52" s="267" t="s">
        <v>595</v>
      </c>
      <c r="CE52" s="269"/>
      <c r="CF52" s="267" t="s">
        <v>596</v>
      </c>
      <c r="CG52" s="268"/>
      <c r="CH52" s="268"/>
      <c r="CI52" s="268"/>
      <c r="CJ52" s="268"/>
      <c r="CK52" s="269"/>
      <c r="CL52" s="270"/>
      <c r="CM52" s="267" t="s">
        <v>361</v>
      </c>
      <c r="CN52" s="268"/>
      <c r="CO52" s="268"/>
      <c r="CP52" s="269"/>
      <c r="CQ52" s="267" t="s">
        <v>597</v>
      </c>
      <c r="CR52" s="268"/>
      <c r="CS52" s="268"/>
      <c r="CT52" s="268"/>
      <c r="CU52" s="269"/>
      <c r="CV52" s="267" t="s">
        <v>598</v>
      </c>
      <c r="CW52" s="269"/>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row>
    <row r="53" spans="1:131" ht="216.75">
      <c r="A53" s="248" t="s">
        <v>464</v>
      </c>
      <c r="B53" s="249" t="s">
        <v>465</v>
      </c>
      <c r="C53" s="250" t="s">
        <v>73</v>
      </c>
      <c r="D53" s="250" t="s">
        <v>599</v>
      </c>
      <c r="E53" s="250" t="s">
        <v>600</v>
      </c>
      <c r="F53" s="250" t="s">
        <v>601</v>
      </c>
      <c r="G53" s="250" t="s">
        <v>602</v>
      </c>
      <c r="H53" s="250" t="s">
        <v>603</v>
      </c>
      <c r="I53" s="250" t="s">
        <v>604</v>
      </c>
      <c r="J53" s="250" t="s">
        <v>605</v>
      </c>
      <c r="K53" s="250" t="s">
        <v>606</v>
      </c>
      <c r="L53" s="250" t="s">
        <v>607</v>
      </c>
      <c r="M53" s="250" t="s">
        <v>608</v>
      </c>
      <c r="N53" s="250" t="s">
        <v>609</v>
      </c>
      <c r="O53" s="250" t="s">
        <v>610</v>
      </c>
      <c r="P53" s="250" t="s">
        <v>611</v>
      </c>
      <c r="Q53" s="250" t="s">
        <v>612</v>
      </c>
      <c r="R53" s="250" t="s">
        <v>613</v>
      </c>
      <c r="S53" s="250" t="s">
        <v>614</v>
      </c>
      <c r="T53" s="250" t="s">
        <v>615</v>
      </c>
      <c r="U53" s="250" t="s">
        <v>522</v>
      </c>
      <c r="V53" s="250" t="s">
        <v>613</v>
      </c>
      <c r="W53" s="250" t="s">
        <v>614</v>
      </c>
      <c r="X53" s="250" t="s">
        <v>615</v>
      </c>
      <c r="Y53" s="250" t="s">
        <v>522</v>
      </c>
      <c r="Z53" s="250" t="s">
        <v>613</v>
      </c>
      <c r="AA53" s="250" t="s">
        <v>614</v>
      </c>
      <c r="AB53" s="250" t="s">
        <v>615</v>
      </c>
      <c r="AC53" s="250" t="s">
        <v>522</v>
      </c>
      <c r="AD53" s="250" t="s">
        <v>613</v>
      </c>
      <c r="AE53" s="250" t="s">
        <v>614</v>
      </c>
      <c r="AF53" s="250" t="s">
        <v>615</v>
      </c>
      <c r="AG53" s="250" t="s">
        <v>522</v>
      </c>
      <c r="AH53" s="250" t="s">
        <v>613</v>
      </c>
      <c r="AI53" s="250" t="s">
        <v>614</v>
      </c>
      <c r="AJ53" s="250" t="s">
        <v>615</v>
      </c>
      <c r="AK53" s="250" t="s">
        <v>522</v>
      </c>
      <c r="AL53" s="250" t="s">
        <v>164</v>
      </c>
      <c r="AM53" s="250" t="s">
        <v>616</v>
      </c>
      <c r="AN53" s="250" t="s">
        <v>617</v>
      </c>
      <c r="AO53" s="250" t="s">
        <v>618</v>
      </c>
      <c r="AP53" s="250" t="s">
        <v>619</v>
      </c>
      <c r="AQ53" s="250" t="s">
        <v>620</v>
      </c>
      <c r="AR53" s="250" t="s">
        <v>621</v>
      </c>
      <c r="AS53" s="250" t="s">
        <v>622</v>
      </c>
      <c r="AT53" s="250" t="s">
        <v>623</v>
      </c>
      <c r="AU53" s="250" t="s">
        <v>624</v>
      </c>
      <c r="AV53" s="250" t="s">
        <v>625</v>
      </c>
      <c r="AW53" s="250" t="s">
        <v>626</v>
      </c>
      <c r="AX53" s="250" t="s">
        <v>627</v>
      </c>
      <c r="AY53" s="250" t="s">
        <v>628</v>
      </c>
      <c r="AZ53" s="250" t="s">
        <v>629</v>
      </c>
      <c r="BA53" s="250" t="s">
        <v>630</v>
      </c>
      <c r="BB53" s="250" t="s">
        <v>631</v>
      </c>
      <c r="BC53" s="250" t="s">
        <v>632</v>
      </c>
      <c r="BD53" s="250" t="s">
        <v>633</v>
      </c>
      <c r="BE53" s="250" t="s">
        <v>634</v>
      </c>
      <c r="BF53" s="250" t="s">
        <v>635</v>
      </c>
      <c r="BG53" s="250" t="s">
        <v>636</v>
      </c>
      <c r="BH53" s="250" t="s">
        <v>637</v>
      </c>
      <c r="BI53" s="250" t="s">
        <v>638</v>
      </c>
      <c r="BJ53" s="250" t="s">
        <v>639</v>
      </c>
      <c r="BK53" s="250" t="s">
        <v>640</v>
      </c>
      <c r="BL53" s="250" t="s">
        <v>641</v>
      </c>
      <c r="BM53" s="250" t="s">
        <v>642</v>
      </c>
      <c r="BN53" s="250" t="s">
        <v>643</v>
      </c>
      <c r="BO53" s="250" t="s">
        <v>644</v>
      </c>
      <c r="BP53" s="250" t="s">
        <v>645</v>
      </c>
      <c r="BQ53" s="250" t="s">
        <v>646</v>
      </c>
      <c r="BR53" s="250" t="s">
        <v>647</v>
      </c>
      <c r="BS53" s="250" t="s">
        <v>648</v>
      </c>
      <c r="BT53" s="250" t="s">
        <v>649</v>
      </c>
      <c r="BU53" s="250" t="s">
        <v>650</v>
      </c>
      <c r="BV53" s="250" t="s">
        <v>651</v>
      </c>
      <c r="BW53" s="250" t="s">
        <v>652</v>
      </c>
      <c r="BX53" s="250" t="s">
        <v>653</v>
      </c>
      <c r="BY53" s="250" t="s">
        <v>654</v>
      </c>
      <c r="BZ53" s="250" t="s">
        <v>655</v>
      </c>
      <c r="CA53" s="250" t="s">
        <v>656</v>
      </c>
      <c r="CB53" s="250" t="s">
        <v>657</v>
      </c>
      <c r="CC53" s="250" t="s">
        <v>658</v>
      </c>
      <c r="CD53" s="250" t="s">
        <v>475</v>
      </c>
      <c r="CE53" s="250" t="s">
        <v>474</v>
      </c>
      <c r="CF53" s="250" t="s">
        <v>659</v>
      </c>
      <c r="CG53" s="250" t="s">
        <v>660</v>
      </c>
      <c r="CH53" s="250" t="s">
        <v>661</v>
      </c>
      <c r="CI53" s="250" t="s">
        <v>662</v>
      </c>
      <c r="CJ53" s="250" t="s">
        <v>663</v>
      </c>
      <c r="CK53" s="250" t="s">
        <v>664</v>
      </c>
      <c r="CL53" s="250"/>
      <c r="CM53" s="250" t="s">
        <v>665</v>
      </c>
      <c r="CN53" s="250" t="s">
        <v>666</v>
      </c>
      <c r="CO53" s="250" t="s">
        <v>667</v>
      </c>
      <c r="CP53" s="250" t="s">
        <v>668</v>
      </c>
      <c r="CQ53" s="250" t="s">
        <v>669</v>
      </c>
      <c r="CR53" s="250" t="s">
        <v>670</v>
      </c>
      <c r="CS53" s="250" t="s">
        <v>671</v>
      </c>
      <c r="CT53" s="250" t="s">
        <v>672</v>
      </c>
      <c r="CU53" s="250" t="s">
        <v>673</v>
      </c>
      <c r="CV53" s="250" t="s">
        <v>674</v>
      </c>
      <c r="CW53" s="271" t="s">
        <v>675</v>
      </c>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row>
    <row r="54" spans="1:131">
      <c r="A54" s="71" t="s">
        <v>502</v>
      </c>
      <c r="B54" s="71" t="s">
        <v>502</v>
      </c>
      <c r="C54" s="93">
        <v>15</v>
      </c>
      <c r="D54" s="93">
        <v>0.11506921726474252</v>
      </c>
      <c r="E54" s="93">
        <v>0</v>
      </c>
      <c r="F54" s="93">
        <v>8.6958816167838432E-2</v>
      </c>
      <c r="G54" s="93">
        <v>0</v>
      </c>
      <c r="H54" s="93">
        <v>0</v>
      </c>
      <c r="I54" s="93" t="s">
        <v>752</v>
      </c>
      <c r="J54" s="93"/>
      <c r="K54" s="93"/>
      <c r="L54" s="93">
        <v>0.12367585487615354</v>
      </c>
      <c r="M54" s="93">
        <v>2.324937496695904E-5</v>
      </c>
      <c r="N54" s="93">
        <v>2.3081571404480425E-5</v>
      </c>
      <c r="O54" s="93">
        <v>0</v>
      </c>
      <c r="P54" s="93">
        <v>0</v>
      </c>
      <c r="Q54" s="93">
        <v>0</v>
      </c>
      <c r="R54" s="93">
        <v>1.7340749583401656E-2</v>
      </c>
      <c r="S54" s="93">
        <v>4.0071834774118312E-2</v>
      </c>
      <c r="T54" s="93">
        <v>0</v>
      </c>
      <c r="U54" s="93">
        <v>5.8185848575083687E-2</v>
      </c>
      <c r="V54" s="93" t="s">
        <v>676</v>
      </c>
      <c r="W54" s="93" t="s">
        <v>676</v>
      </c>
      <c r="X54" s="93" t="s">
        <v>676</v>
      </c>
      <c r="Y54" s="93" t="s">
        <v>676</v>
      </c>
      <c r="Z54" s="93">
        <v>0</v>
      </c>
      <c r="AA54" s="93">
        <v>0</v>
      </c>
      <c r="AB54" s="93">
        <v>0</v>
      </c>
      <c r="AC54" s="93">
        <v>0</v>
      </c>
      <c r="AD54" s="93">
        <v>0</v>
      </c>
      <c r="AE54" s="93">
        <v>0</v>
      </c>
      <c r="AF54" s="93">
        <v>0</v>
      </c>
      <c r="AG54" s="93">
        <v>0</v>
      </c>
      <c r="AH54" s="93">
        <v>1.7340749583401656E-2</v>
      </c>
      <c r="AI54" s="93">
        <v>4.0071834774118312E-2</v>
      </c>
      <c r="AJ54" s="93">
        <v>0</v>
      </c>
      <c r="AK54" s="93">
        <v>5.8185848575083687E-2</v>
      </c>
      <c r="AL54" s="93">
        <v>0.11559843293260366</v>
      </c>
      <c r="AM54" s="93">
        <v>6.436814608286108E-2</v>
      </c>
      <c r="AN54" s="93">
        <v>8.2151314210548859E-3</v>
      </c>
      <c r="AO54" s="93">
        <v>0</v>
      </c>
      <c r="AP54" s="93">
        <v>0</v>
      </c>
      <c r="AQ54" s="93">
        <v>7.2583277503915966E-2</v>
      </c>
      <c r="AR54" s="93">
        <v>1.7340749583401656E-2</v>
      </c>
      <c r="AS54" s="251">
        <v>4.1857058805227059</v>
      </c>
      <c r="AT54" s="93">
        <v>6.436814608286108E-2</v>
      </c>
      <c r="AU54" s="93">
        <v>9.7242687261884526E-3</v>
      </c>
      <c r="AV54" s="93">
        <v>0</v>
      </c>
      <c r="AW54" s="93">
        <v>0</v>
      </c>
      <c r="AX54" s="93">
        <v>7.4092414809049531E-2</v>
      </c>
      <c r="AY54" s="93">
        <v>4.0071834774118312E-2</v>
      </c>
      <c r="AZ54" s="251">
        <v>1.8489898260636797</v>
      </c>
      <c r="BA54" s="93">
        <v>6.436814608286108E-2</v>
      </c>
      <c r="BB54" s="93">
        <v>1.7939400147243337E-2</v>
      </c>
      <c r="BC54" s="93">
        <v>0</v>
      </c>
      <c r="BD54" s="93">
        <v>0</v>
      </c>
      <c r="BE54" s="93">
        <v>8.2307546230104417E-2</v>
      </c>
      <c r="BF54" s="93">
        <v>5.7412584357519968E-2</v>
      </c>
      <c r="BG54" s="93">
        <v>23.484826429096138</v>
      </c>
      <c r="BH54" s="251">
        <v>1.4336150715243614</v>
      </c>
      <c r="BI54" s="93">
        <v>10.31699119957455</v>
      </c>
      <c r="BJ54" s="93">
        <v>23.840997456713474</v>
      </c>
      <c r="BK54" s="93">
        <v>0</v>
      </c>
      <c r="BL54" s="93">
        <v>34.618047207343217</v>
      </c>
      <c r="BM54" s="93">
        <v>68.776035863631236</v>
      </c>
      <c r="BN54" s="93">
        <v>6.436814608286108E-2</v>
      </c>
      <c r="BO54" s="93">
        <v>0</v>
      </c>
      <c r="BP54" s="93">
        <v>1.7939400147243337E-2</v>
      </c>
      <c r="BQ54" s="93">
        <v>0</v>
      </c>
      <c r="BR54" s="93">
        <v>0</v>
      </c>
      <c r="BS54" s="93">
        <v>0</v>
      </c>
      <c r="BT54" s="93">
        <v>0</v>
      </c>
      <c r="BU54" s="93">
        <v>0</v>
      </c>
      <c r="BV54" s="93">
        <v>0</v>
      </c>
      <c r="BW54" s="93">
        <v>0</v>
      </c>
      <c r="BX54" s="93">
        <v>0.11559843293260366</v>
      </c>
      <c r="BY54" s="93"/>
      <c r="BZ54" s="93">
        <v>0</v>
      </c>
      <c r="CA54" s="93">
        <v>0</v>
      </c>
      <c r="CB54" s="93">
        <v>8.2307546230104417E-2</v>
      </c>
      <c r="CC54" s="93">
        <v>0.11559843293260366</v>
      </c>
      <c r="CD54" s="252">
        <v>0.71201264707534107</v>
      </c>
      <c r="CE54" s="93">
        <v>58.102873636439362</v>
      </c>
      <c r="CF54" s="93">
        <v>1.1749317397315648E-3</v>
      </c>
      <c r="CG54" s="93">
        <v>0</v>
      </c>
      <c r="CH54" s="93">
        <v>1.1749317397315648E-3</v>
      </c>
      <c r="CI54" s="93">
        <v>5.8746031066172932E-5</v>
      </c>
      <c r="CJ54" s="93">
        <v>0</v>
      </c>
      <c r="CK54" s="93">
        <v>5.8746031066172932E-5</v>
      </c>
      <c r="CL54" s="93"/>
      <c r="CM54" s="93">
        <v>0</v>
      </c>
      <c r="CN54" s="93"/>
      <c r="CO54" s="93">
        <v>0</v>
      </c>
      <c r="CP54" s="93">
        <v>0</v>
      </c>
      <c r="CQ54" s="93">
        <v>0</v>
      </c>
      <c r="CR54" s="93">
        <v>0</v>
      </c>
      <c r="CS54" s="93">
        <v>0</v>
      </c>
      <c r="CT54" s="93">
        <v>0</v>
      </c>
      <c r="CU54" s="93">
        <v>0</v>
      </c>
      <c r="CV54" s="93">
        <v>9999</v>
      </c>
      <c r="CW54" s="251">
        <v>9999</v>
      </c>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row>
    <row r="55" spans="1:131">
      <c r="A55" s="71" t="s">
        <v>503</v>
      </c>
      <c r="B55" s="71" t="s">
        <v>503</v>
      </c>
      <c r="C55" s="93">
        <v>15</v>
      </c>
      <c r="D55" s="93">
        <v>0.38623376009711341</v>
      </c>
      <c r="E55" s="93">
        <v>0</v>
      </c>
      <c r="F55" s="93">
        <v>0.31606351396005627</v>
      </c>
      <c r="G55" s="93">
        <v>0</v>
      </c>
      <c r="H55" s="93">
        <v>0</v>
      </c>
      <c r="I55" s="93" t="s">
        <v>752</v>
      </c>
      <c r="J55" s="93"/>
      <c r="K55" s="93"/>
      <c r="L55" s="93">
        <v>0.41512223336099691</v>
      </c>
      <c r="M55" s="93">
        <v>7.8037321595196869E-5</v>
      </c>
      <c r="N55" s="93">
        <v>7.7474083203258448E-5</v>
      </c>
      <c r="O55" s="93">
        <v>0</v>
      </c>
      <c r="P55" s="93">
        <v>0</v>
      </c>
      <c r="Q55" s="93">
        <v>0</v>
      </c>
      <c r="R55" s="93">
        <v>6.3027286818773023E-2</v>
      </c>
      <c r="S55" s="93">
        <v>0.14564647344197437</v>
      </c>
      <c r="T55" s="93">
        <v>0</v>
      </c>
      <c r="U55" s="93">
        <v>0.21148429306918681</v>
      </c>
      <c r="V55" s="93" t="s">
        <v>676</v>
      </c>
      <c r="W55" s="93" t="s">
        <v>676</v>
      </c>
      <c r="X55" s="93" t="s">
        <v>676</v>
      </c>
      <c r="Y55" s="93" t="s">
        <v>676</v>
      </c>
      <c r="Z55" s="93">
        <v>0</v>
      </c>
      <c r="AA55" s="93">
        <v>0</v>
      </c>
      <c r="AB55" s="93">
        <v>0</v>
      </c>
      <c r="AC55" s="93">
        <v>0</v>
      </c>
      <c r="AD55" s="93">
        <v>0</v>
      </c>
      <c r="AE55" s="93">
        <v>0</v>
      </c>
      <c r="AF55" s="93">
        <v>0</v>
      </c>
      <c r="AG55" s="93">
        <v>0</v>
      </c>
      <c r="AH55" s="93">
        <v>6.3027286818773023E-2</v>
      </c>
      <c r="AI55" s="93">
        <v>0.14564647344197437</v>
      </c>
      <c r="AJ55" s="93">
        <v>0</v>
      </c>
      <c r="AK55" s="93">
        <v>0.21148429306918681</v>
      </c>
      <c r="AL55" s="93">
        <v>0.42015805332993422</v>
      </c>
      <c r="AM55" s="93">
        <v>0.21605388202880565</v>
      </c>
      <c r="AN55" s="93">
        <v>2.7574369356713906E-2</v>
      </c>
      <c r="AO55" s="93">
        <v>0</v>
      </c>
      <c r="AP55" s="93">
        <v>0</v>
      </c>
      <c r="AQ55" s="93">
        <v>0.24362825138551955</v>
      </c>
      <c r="AR55" s="93">
        <v>6.3027286818773023E-2</v>
      </c>
      <c r="AS55" s="251">
        <v>3.8654408857236979</v>
      </c>
      <c r="AT55" s="93">
        <v>0.21605388202880565</v>
      </c>
      <c r="AU55" s="93">
        <v>3.2639840294293308E-2</v>
      </c>
      <c r="AV55" s="93">
        <v>0</v>
      </c>
      <c r="AW55" s="93">
        <v>0</v>
      </c>
      <c r="AX55" s="93">
        <v>0.24869372232309897</v>
      </c>
      <c r="AY55" s="93">
        <v>0.14564647344197437</v>
      </c>
      <c r="AZ55" s="251">
        <v>1.7075162648698026</v>
      </c>
      <c r="BA55" s="93">
        <v>0.21605388202880565</v>
      </c>
      <c r="BB55" s="93">
        <v>6.0214209651007211E-2</v>
      </c>
      <c r="BC55" s="93">
        <v>0</v>
      </c>
      <c r="BD55" s="93">
        <v>0</v>
      </c>
      <c r="BE55" s="93">
        <v>0.27626809167981287</v>
      </c>
      <c r="BF55" s="93">
        <v>0.20867376026074741</v>
      </c>
      <c r="BG55" s="93">
        <v>26.314932588461801</v>
      </c>
      <c r="BH55" s="251">
        <v>1.3239234838851002</v>
      </c>
      <c r="BI55" s="93">
        <v>11.171789198187453</v>
      </c>
      <c r="BJ55" s="93">
        <v>25.816305617466224</v>
      </c>
      <c r="BK55" s="93">
        <v>0</v>
      </c>
      <c r="BL55" s="93">
        <v>37.486270790779464</v>
      </c>
      <c r="BM55" s="93">
        <v>74.474365606433153</v>
      </c>
      <c r="BN55" s="93">
        <v>0.21605388202880565</v>
      </c>
      <c r="BO55" s="93">
        <v>0</v>
      </c>
      <c r="BP55" s="93">
        <v>6.0214209651007211E-2</v>
      </c>
      <c r="BQ55" s="93">
        <v>0</v>
      </c>
      <c r="BR55" s="93">
        <v>0</v>
      </c>
      <c r="BS55" s="93">
        <v>0</v>
      </c>
      <c r="BT55" s="93">
        <v>0</v>
      </c>
      <c r="BU55" s="93">
        <v>0</v>
      </c>
      <c r="BV55" s="93">
        <v>0</v>
      </c>
      <c r="BW55" s="93">
        <v>0</v>
      </c>
      <c r="BX55" s="93">
        <v>0.42015805332993422</v>
      </c>
      <c r="BY55" s="93"/>
      <c r="BZ55" s="93">
        <v>0</v>
      </c>
      <c r="CA55" s="93">
        <v>0</v>
      </c>
      <c r="CB55" s="93">
        <v>0.27626809167981287</v>
      </c>
      <c r="CC55" s="93">
        <v>0.42015805332993422</v>
      </c>
      <c r="CD55" s="252">
        <v>0.65753372924847875</v>
      </c>
      <c r="CE55" s="93">
        <v>63.801203379241265</v>
      </c>
      <c r="CF55" s="93">
        <v>3.9436985362462365E-3</v>
      </c>
      <c r="CG55" s="93">
        <v>0</v>
      </c>
      <c r="CH55" s="93">
        <v>3.9436985362462365E-3</v>
      </c>
      <c r="CI55" s="93">
        <v>1.9718306084647353E-4</v>
      </c>
      <c r="CJ55" s="93">
        <v>0</v>
      </c>
      <c r="CK55" s="93">
        <v>1.9718306084647353E-4</v>
      </c>
      <c r="CL55" s="93"/>
      <c r="CM55" s="93">
        <v>0</v>
      </c>
      <c r="CN55" s="93"/>
      <c r="CO55" s="93">
        <v>0</v>
      </c>
      <c r="CP55" s="93">
        <v>0</v>
      </c>
      <c r="CQ55" s="93">
        <v>0</v>
      </c>
      <c r="CR55" s="93">
        <v>0</v>
      </c>
      <c r="CS55" s="93">
        <v>0</v>
      </c>
      <c r="CT55" s="93">
        <v>0</v>
      </c>
      <c r="CU55" s="93">
        <v>0</v>
      </c>
      <c r="CV55" s="93">
        <v>9999</v>
      </c>
      <c r="CW55" s="251">
        <v>9999</v>
      </c>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row>
    <row r="56" spans="1:131">
      <c r="A56" s="71" t="s">
        <v>504</v>
      </c>
      <c r="B56" s="71" t="s">
        <v>504</v>
      </c>
      <c r="C56" s="93">
        <v>15</v>
      </c>
      <c r="D56" s="93">
        <v>0.26506590770984895</v>
      </c>
      <c r="E56" s="93">
        <v>0</v>
      </c>
      <c r="F56" s="93">
        <v>0.19999195139965231</v>
      </c>
      <c r="G56" s="93">
        <v>0</v>
      </c>
      <c r="H56" s="93">
        <v>0</v>
      </c>
      <c r="I56" s="93" t="s">
        <v>752</v>
      </c>
      <c r="J56" s="93"/>
      <c r="K56" s="93"/>
      <c r="L56" s="93">
        <v>0.2848915940665197</v>
      </c>
      <c r="M56" s="93">
        <v>5.3555736501840944E-5</v>
      </c>
      <c r="N56" s="93">
        <v>5.3169195212496753E-5</v>
      </c>
      <c r="O56" s="93">
        <v>0</v>
      </c>
      <c r="P56" s="93">
        <v>0</v>
      </c>
      <c r="Q56" s="93">
        <v>0</v>
      </c>
      <c r="R56" s="93">
        <v>3.9881066702007875E-2</v>
      </c>
      <c r="S56" s="93">
        <v>9.2159079272336589E-2</v>
      </c>
      <c r="T56" s="93">
        <v>0</v>
      </c>
      <c r="U56" s="93">
        <v>0.13381853517779924</v>
      </c>
      <c r="V56" s="93" t="s">
        <v>676</v>
      </c>
      <c r="W56" s="93" t="s">
        <v>676</v>
      </c>
      <c r="X56" s="93" t="s">
        <v>676</v>
      </c>
      <c r="Y56" s="93" t="s">
        <v>676</v>
      </c>
      <c r="Z56" s="93">
        <v>0</v>
      </c>
      <c r="AA56" s="93">
        <v>0</v>
      </c>
      <c r="AB56" s="93">
        <v>0</v>
      </c>
      <c r="AC56" s="93">
        <v>0</v>
      </c>
      <c r="AD56" s="93">
        <v>0</v>
      </c>
      <c r="AE56" s="93">
        <v>0</v>
      </c>
      <c r="AF56" s="93">
        <v>0</v>
      </c>
      <c r="AG56" s="93">
        <v>0</v>
      </c>
      <c r="AH56" s="93">
        <v>3.9881066702007875E-2</v>
      </c>
      <c r="AI56" s="93">
        <v>9.2159079272336589E-2</v>
      </c>
      <c r="AJ56" s="93">
        <v>0</v>
      </c>
      <c r="AK56" s="93">
        <v>0.13381853517779924</v>
      </c>
      <c r="AL56" s="93">
        <v>0.26585868115214373</v>
      </c>
      <c r="AM56" s="93">
        <v>0.14827424288286617</v>
      </c>
      <c r="AN56" s="93">
        <v>1.8923838354333027E-2</v>
      </c>
      <c r="AO56" s="93">
        <v>0</v>
      </c>
      <c r="AP56" s="93">
        <v>0</v>
      </c>
      <c r="AQ56" s="93">
        <v>0.1671980812371992</v>
      </c>
      <c r="AR56" s="93">
        <v>3.9881066702007875E-2</v>
      </c>
      <c r="AS56" s="251">
        <v>4.192417481871952</v>
      </c>
      <c r="AT56" s="93">
        <v>0.14827424288286617</v>
      </c>
      <c r="AU56" s="93">
        <v>2.2400188147550855E-2</v>
      </c>
      <c r="AV56" s="93">
        <v>0</v>
      </c>
      <c r="AW56" s="93">
        <v>0</v>
      </c>
      <c r="AX56" s="93">
        <v>0.17067443103041702</v>
      </c>
      <c r="AY56" s="93">
        <v>9.2159079272336589E-2</v>
      </c>
      <c r="AZ56" s="251">
        <v>1.8519546026068905</v>
      </c>
      <c r="BA56" s="93">
        <v>0.14827424288286617</v>
      </c>
      <c r="BB56" s="93">
        <v>4.1324026501883881E-2</v>
      </c>
      <c r="BC56" s="93">
        <v>0</v>
      </c>
      <c r="BD56" s="93">
        <v>0</v>
      </c>
      <c r="BE56" s="93">
        <v>0.18959826938475005</v>
      </c>
      <c r="BF56" s="93">
        <v>0.13204014597434446</v>
      </c>
      <c r="BG56" s="93">
        <v>23.430143229308804</v>
      </c>
      <c r="BH56" s="251">
        <v>1.4359138123157573</v>
      </c>
      <c r="BI56" s="93">
        <v>10.300474826299551</v>
      </c>
      <c r="BJ56" s="93">
        <v>23.802830630201136</v>
      </c>
      <c r="BK56" s="93">
        <v>0</v>
      </c>
      <c r="BL56" s="93">
        <v>34.562627504188711</v>
      </c>
      <c r="BM56" s="93">
        <v>68.665932960689403</v>
      </c>
      <c r="BN56" s="93">
        <v>0.14827424288286617</v>
      </c>
      <c r="BO56" s="93">
        <v>0</v>
      </c>
      <c r="BP56" s="93">
        <v>4.1324026501883881E-2</v>
      </c>
      <c r="BQ56" s="93">
        <v>0</v>
      </c>
      <c r="BR56" s="93">
        <v>0</v>
      </c>
      <c r="BS56" s="93">
        <v>0</v>
      </c>
      <c r="BT56" s="93">
        <v>0</v>
      </c>
      <c r="BU56" s="93">
        <v>0</v>
      </c>
      <c r="BV56" s="93">
        <v>0</v>
      </c>
      <c r="BW56" s="93">
        <v>0</v>
      </c>
      <c r="BX56" s="93">
        <v>0.26585868115214373</v>
      </c>
      <c r="BY56" s="93"/>
      <c r="BZ56" s="93">
        <v>0</v>
      </c>
      <c r="CA56" s="93">
        <v>0</v>
      </c>
      <c r="CB56" s="93">
        <v>0.18959826938475005</v>
      </c>
      <c r="CC56" s="93">
        <v>0.26585868115214373</v>
      </c>
      <c r="CD56" s="252">
        <v>0.71315432907097021</v>
      </c>
      <c r="CE56" s="93">
        <v>57.992770733497522</v>
      </c>
      <c r="CF56" s="93">
        <v>2.7064957552681954E-3</v>
      </c>
      <c r="CG56" s="93">
        <v>0</v>
      </c>
      <c r="CH56" s="93">
        <v>2.7064957552681954E-3</v>
      </c>
      <c r="CI56" s="93">
        <v>1.3532350718159687E-4</v>
      </c>
      <c r="CJ56" s="93">
        <v>0</v>
      </c>
      <c r="CK56" s="93">
        <v>1.3532350718159687E-4</v>
      </c>
      <c r="CL56" s="93"/>
      <c r="CM56" s="93">
        <v>0</v>
      </c>
      <c r="CN56" s="93"/>
      <c r="CO56" s="93">
        <v>0</v>
      </c>
      <c r="CP56" s="93">
        <v>0</v>
      </c>
      <c r="CQ56" s="93">
        <v>0</v>
      </c>
      <c r="CR56" s="93">
        <v>0</v>
      </c>
      <c r="CS56" s="93">
        <v>0</v>
      </c>
      <c r="CT56" s="93">
        <v>0</v>
      </c>
      <c r="CU56" s="93">
        <v>0</v>
      </c>
      <c r="CV56" s="93">
        <v>9999</v>
      </c>
      <c r="CW56" s="251">
        <v>9999</v>
      </c>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row>
    <row r="57" spans="1:131">
      <c r="A57" s="71" t="s">
        <v>490</v>
      </c>
      <c r="B57" s="71" t="s">
        <v>490</v>
      </c>
      <c r="C57" s="93">
        <v>15</v>
      </c>
      <c r="D57" s="93">
        <v>0.93646687385369998</v>
      </c>
      <c r="E57" s="93">
        <v>0</v>
      </c>
      <c r="F57" s="93">
        <v>0.1811789556978993</v>
      </c>
      <c r="G57" s="93">
        <v>0</v>
      </c>
      <c r="H57" s="93">
        <v>0</v>
      </c>
      <c r="I57" s="93" t="s">
        <v>752</v>
      </c>
      <c r="J57" s="93"/>
      <c r="K57" s="93"/>
      <c r="L57" s="93">
        <v>1.0065102026425481</v>
      </c>
      <c r="M57" s="93">
        <v>1.8921019897327204E-4</v>
      </c>
      <c r="N57" s="93">
        <v>1.8784456460718156E-4</v>
      </c>
      <c r="O57" s="93">
        <v>0</v>
      </c>
      <c r="P57" s="93">
        <v>0</v>
      </c>
      <c r="Q57" s="93">
        <v>0</v>
      </c>
      <c r="R57" s="93">
        <v>3.6129504045634371E-2</v>
      </c>
      <c r="S57" s="93">
        <v>8.3489788582916377E-2</v>
      </c>
      <c r="T57" s="93">
        <v>0</v>
      </c>
      <c r="U57" s="93">
        <v>0.12123039095751539</v>
      </c>
      <c r="V57" s="93" t="s">
        <v>676</v>
      </c>
      <c r="W57" s="93" t="s">
        <v>676</v>
      </c>
      <c r="X57" s="93" t="s">
        <v>676</v>
      </c>
      <c r="Y57" s="93" t="s">
        <v>676</v>
      </c>
      <c r="Z57" s="93">
        <v>0</v>
      </c>
      <c r="AA57" s="93">
        <v>0</v>
      </c>
      <c r="AB57" s="93">
        <v>0</v>
      </c>
      <c r="AC57" s="93">
        <v>0</v>
      </c>
      <c r="AD57" s="93">
        <v>0</v>
      </c>
      <c r="AE57" s="93">
        <v>0</v>
      </c>
      <c r="AF57" s="93">
        <v>0</v>
      </c>
      <c r="AG57" s="93">
        <v>0</v>
      </c>
      <c r="AH57" s="93">
        <v>3.6129504045634371E-2</v>
      </c>
      <c r="AI57" s="93">
        <v>8.3489788582916377E-2</v>
      </c>
      <c r="AJ57" s="93">
        <v>0</v>
      </c>
      <c r="AK57" s="93">
        <v>0.12123039095751539</v>
      </c>
      <c r="AL57" s="93">
        <v>0.24084968358606615</v>
      </c>
      <c r="AM57" s="93">
        <v>0.52384675911447853</v>
      </c>
      <c r="AN57" s="93">
        <v>6.6857137147918952E-2</v>
      </c>
      <c r="AO57" s="93">
        <v>0</v>
      </c>
      <c r="AP57" s="93">
        <v>0</v>
      </c>
      <c r="AQ57" s="93">
        <v>0.5907038962623975</v>
      </c>
      <c r="AR57" s="93">
        <v>3.6129504045634371E-2</v>
      </c>
      <c r="AS57" s="251">
        <v>16.349626485774412</v>
      </c>
      <c r="AT57" s="93">
        <v>0.52384675911447853</v>
      </c>
      <c r="AU57" s="93">
        <v>7.9138936989338882E-2</v>
      </c>
      <c r="AV57" s="93">
        <v>0</v>
      </c>
      <c r="AW57" s="93">
        <v>0</v>
      </c>
      <c r="AX57" s="93">
        <v>0.60298569610381736</v>
      </c>
      <c r="AY57" s="93">
        <v>8.3489788582916377E-2</v>
      </c>
      <c r="AZ57" s="251">
        <v>7.2222688108135884</v>
      </c>
      <c r="BA57" s="93">
        <v>0.52384675911447853</v>
      </c>
      <c r="BB57" s="93">
        <v>0.14599607413725785</v>
      </c>
      <c r="BC57" s="93">
        <v>0</v>
      </c>
      <c r="BD57" s="93">
        <v>0</v>
      </c>
      <c r="BE57" s="93">
        <v>0.66984283325173632</v>
      </c>
      <c r="BF57" s="93">
        <v>0.11961929262855076</v>
      </c>
      <c r="BG57" s="93">
        <v>-1.9282961527373095</v>
      </c>
      <c r="BH57" s="251">
        <v>5.5997892859287663</v>
      </c>
      <c r="BI57" s="93">
        <v>2.6412768983397812</v>
      </c>
      <c r="BJ57" s="93">
        <v>6.1035891761147889</v>
      </c>
      <c r="BK57" s="93">
        <v>0</v>
      </c>
      <c r="BL57" s="93">
        <v>8.8626467334936017</v>
      </c>
      <c r="BM57" s="93">
        <v>17.607512807948172</v>
      </c>
      <c r="BN57" s="93">
        <v>0.52384675911447853</v>
      </c>
      <c r="BO57" s="93">
        <v>0</v>
      </c>
      <c r="BP57" s="93">
        <v>0.14599607413725785</v>
      </c>
      <c r="BQ57" s="93">
        <v>0</v>
      </c>
      <c r="BR57" s="93">
        <v>0</v>
      </c>
      <c r="BS57" s="93">
        <v>0</v>
      </c>
      <c r="BT57" s="93">
        <v>0</v>
      </c>
      <c r="BU57" s="93">
        <v>0</v>
      </c>
      <c r="BV57" s="93">
        <v>0</v>
      </c>
      <c r="BW57" s="93">
        <v>0</v>
      </c>
      <c r="BX57" s="93">
        <v>0.24084968358606615</v>
      </c>
      <c r="BY57" s="93"/>
      <c r="BZ57" s="93">
        <v>0</v>
      </c>
      <c r="CA57" s="93">
        <v>0</v>
      </c>
      <c r="CB57" s="93">
        <v>0.66984283325173632</v>
      </c>
      <c r="CC57" s="93">
        <v>0.24084968358606615</v>
      </c>
      <c r="CD57" s="251">
        <v>2.7811655106965176</v>
      </c>
      <c r="CE57" s="93">
        <v>6.934350580756294</v>
      </c>
      <c r="CF57" s="93">
        <v>9.5619374099543512E-3</v>
      </c>
      <c r="CG57" s="93">
        <v>0</v>
      </c>
      <c r="CH57" s="93">
        <v>9.5619374099543512E-3</v>
      </c>
      <c r="CI57" s="93">
        <v>4.7809234625521032E-4</v>
      </c>
      <c r="CJ57" s="93">
        <v>0</v>
      </c>
      <c r="CK57" s="93">
        <v>4.7809234625521032E-4</v>
      </c>
      <c r="CL57" s="93"/>
      <c r="CM57" s="93">
        <v>0</v>
      </c>
      <c r="CN57" s="93"/>
      <c r="CO57" s="93">
        <v>0</v>
      </c>
      <c r="CP57" s="93">
        <v>0</v>
      </c>
      <c r="CQ57" s="93">
        <v>0</v>
      </c>
      <c r="CR57" s="93">
        <v>0</v>
      </c>
      <c r="CS57" s="93">
        <v>0</v>
      </c>
      <c r="CT57" s="93">
        <v>0</v>
      </c>
      <c r="CU57" s="93">
        <v>0</v>
      </c>
      <c r="CV57" s="93">
        <v>9999</v>
      </c>
      <c r="CW57" s="251">
        <v>9999</v>
      </c>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row>
    <row r="58" spans="1:131">
      <c r="A58" s="71" t="s">
        <v>491</v>
      </c>
      <c r="B58" s="71" t="s">
        <v>491</v>
      </c>
      <c r="C58" s="93">
        <v>15</v>
      </c>
      <c r="D58" s="93">
        <v>1.1497311538054293</v>
      </c>
      <c r="E58" s="93">
        <v>0</v>
      </c>
      <c r="F58" s="93">
        <v>0.18359410174555876</v>
      </c>
      <c r="G58" s="93">
        <v>0</v>
      </c>
      <c r="H58" s="93">
        <v>0</v>
      </c>
      <c r="I58" s="93" t="s">
        <v>752</v>
      </c>
      <c r="J58" s="93"/>
      <c r="K58" s="93"/>
      <c r="L58" s="93">
        <v>1.2357256502187177</v>
      </c>
      <c r="M58" s="93">
        <v>2.3229957882234747E-4</v>
      </c>
      <c r="N58" s="93">
        <v>2.3062294463566205E-4</v>
      </c>
      <c r="O58" s="93">
        <v>0</v>
      </c>
      <c r="P58" s="93">
        <v>0</v>
      </c>
      <c r="Q58" s="93">
        <v>0</v>
      </c>
      <c r="R58" s="93">
        <v>3.6611116430271394E-2</v>
      </c>
      <c r="S58" s="93">
        <v>8.4602721550982349E-2</v>
      </c>
      <c r="T58" s="93">
        <v>0</v>
      </c>
      <c r="U58" s="93">
        <v>0.12284641252276526</v>
      </c>
      <c r="V58" s="93" t="s">
        <v>676</v>
      </c>
      <c r="W58" s="93" t="s">
        <v>676</v>
      </c>
      <c r="X58" s="93" t="s">
        <v>676</v>
      </c>
      <c r="Y58" s="93" t="s">
        <v>676</v>
      </c>
      <c r="Z58" s="93">
        <v>0</v>
      </c>
      <c r="AA58" s="93">
        <v>0</v>
      </c>
      <c r="AB58" s="93">
        <v>0</v>
      </c>
      <c r="AC58" s="93">
        <v>0</v>
      </c>
      <c r="AD58" s="93">
        <v>0</v>
      </c>
      <c r="AE58" s="93">
        <v>0</v>
      </c>
      <c r="AF58" s="93">
        <v>0</v>
      </c>
      <c r="AG58" s="93">
        <v>0</v>
      </c>
      <c r="AH58" s="93">
        <v>3.6611116430271394E-2</v>
      </c>
      <c r="AI58" s="93">
        <v>8.4602721550982349E-2</v>
      </c>
      <c r="AJ58" s="93">
        <v>0</v>
      </c>
      <c r="AK58" s="93">
        <v>0.12284641252276526</v>
      </c>
      <c r="AL58" s="93">
        <v>0.244060250504019</v>
      </c>
      <c r="AM58" s="93">
        <v>0.64314388003436906</v>
      </c>
      <c r="AN58" s="93">
        <v>8.2082704235850401E-2</v>
      </c>
      <c r="AO58" s="93">
        <v>0</v>
      </c>
      <c r="AP58" s="93">
        <v>0</v>
      </c>
      <c r="AQ58" s="93">
        <v>0.72522658427021947</v>
      </c>
      <c r="AR58" s="93">
        <v>3.6611116430271394E-2</v>
      </c>
      <c r="AS58" s="251">
        <v>19.808917481428562</v>
      </c>
      <c r="AT58" s="93">
        <v>0.64314388003436906</v>
      </c>
      <c r="AU58" s="93">
        <v>9.716147348731792E-2</v>
      </c>
      <c r="AV58" s="93">
        <v>0</v>
      </c>
      <c r="AW58" s="93">
        <v>0</v>
      </c>
      <c r="AX58" s="93">
        <v>0.74030535352168703</v>
      </c>
      <c r="AY58" s="93">
        <v>8.4602721550982349E-2</v>
      </c>
      <c r="AZ58" s="251">
        <v>8.7503728006618857</v>
      </c>
      <c r="BA58" s="93">
        <v>0.64314388003436906</v>
      </c>
      <c r="BB58" s="93">
        <v>0.17924417772316831</v>
      </c>
      <c r="BC58" s="93">
        <v>0</v>
      </c>
      <c r="BD58" s="93">
        <v>0</v>
      </c>
      <c r="BE58" s="93">
        <v>0.82238805775753743</v>
      </c>
      <c r="BF58" s="93">
        <v>0.12121383798125374</v>
      </c>
      <c r="BG58" s="93">
        <v>-3.4554384863819121</v>
      </c>
      <c r="BH58" s="251">
        <v>6.7846053837906153</v>
      </c>
      <c r="BI58" s="93">
        <v>2.1800227485346615</v>
      </c>
      <c r="BJ58" s="93">
        <v>5.0377009922753127</v>
      </c>
      <c r="BK58" s="93">
        <v>0</v>
      </c>
      <c r="BL58" s="93">
        <v>7.3149360081810642</v>
      </c>
      <c r="BM58" s="93">
        <v>14.532659748991037</v>
      </c>
      <c r="BN58" s="93">
        <v>0.64314388003436906</v>
      </c>
      <c r="BO58" s="93">
        <v>0</v>
      </c>
      <c r="BP58" s="93">
        <v>0.17924417772316831</v>
      </c>
      <c r="BQ58" s="93">
        <v>0</v>
      </c>
      <c r="BR58" s="93">
        <v>0</v>
      </c>
      <c r="BS58" s="93">
        <v>0</v>
      </c>
      <c r="BT58" s="93">
        <v>0</v>
      </c>
      <c r="BU58" s="93">
        <v>0</v>
      </c>
      <c r="BV58" s="93">
        <v>0</v>
      </c>
      <c r="BW58" s="93">
        <v>0</v>
      </c>
      <c r="BX58" s="93">
        <v>0.244060250504019</v>
      </c>
      <c r="BY58" s="93"/>
      <c r="BZ58" s="93">
        <v>0</v>
      </c>
      <c r="CA58" s="93">
        <v>0</v>
      </c>
      <c r="CB58" s="93">
        <v>0.82238805775753743</v>
      </c>
      <c r="CC58" s="93">
        <v>0.244060250504019</v>
      </c>
      <c r="CD58" s="251">
        <v>3.3696108074100128</v>
      </c>
      <c r="CE58" s="93">
        <v>3.8594975217991534</v>
      </c>
      <c r="CF58" s="93">
        <v>1.1739504768301726E-2</v>
      </c>
      <c r="CG58" s="93">
        <v>0</v>
      </c>
      <c r="CH58" s="93">
        <v>1.1739504768301726E-2</v>
      </c>
      <c r="CI58" s="93">
        <v>5.8696968385389084E-4</v>
      </c>
      <c r="CJ58" s="93">
        <v>0</v>
      </c>
      <c r="CK58" s="93">
        <v>5.8696968385389084E-4</v>
      </c>
      <c r="CL58" s="93"/>
      <c r="CM58" s="93">
        <v>0</v>
      </c>
      <c r="CN58" s="93"/>
      <c r="CO58" s="93">
        <v>0</v>
      </c>
      <c r="CP58" s="93">
        <v>0</v>
      </c>
      <c r="CQ58" s="93">
        <v>0</v>
      </c>
      <c r="CR58" s="93">
        <v>0</v>
      </c>
      <c r="CS58" s="93">
        <v>0</v>
      </c>
      <c r="CT58" s="93">
        <v>0</v>
      </c>
      <c r="CU58" s="93">
        <v>0</v>
      </c>
      <c r="CV58" s="93">
        <v>9999</v>
      </c>
      <c r="CW58" s="251">
        <v>9999</v>
      </c>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row>
    <row r="59" spans="1:131">
      <c r="A59" s="71" t="s">
        <v>492</v>
      </c>
      <c r="B59" s="71" t="s">
        <v>492</v>
      </c>
      <c r="C59" s="93">
        <v>15</v>
      </c>
      <c r="D59" s="93">
        <v>0.39486164846664223</v>
      </c>
      <c r="E59" s="93">
        <v>0</v>
      </c>
      <c r="F59" s="93">
        <v>0.11606750141743268</v>
      </c>
      <c r="G59" s="93">
        <v>0</v>
      </c>
      <c r="H59" s="93">
        <v>0</v>
      </c>
      <c r="I59" s="93" t="s">
        <v>752</v>
      </c>
      <c r="J59" s="93"/>
      <c r="K59" s="93"/>
      <c r="L59" s="93">
        <v>0.42439544730337114</v>
      </c>
      <c r="M59" s="93">
        <v>7.9780559418868961E-5</v>
      </c>
      <c r="N59" s="93">
        <v>7.9204739118063082E-5</v>
      </c>
      <c r="O59" s="93">
        <v>0</v>
      </c>
      <c r="P59" s="93">
        <v>0</v>
      </c>
      <c r="Q59" s="93">
        <v>0</v>
      </c>
      <c r="R59" s="93">
        <v>2.3145410270605887E-2</v>
      </c>
      <c r="S59" s="93">
        <v>5.3485522738340625E-2</v>
      </c>
      <c r="T59" s="93">
        <v>0</v>
      </c>
      <c r="U59" s="93">
        <v>7.7663040501013789E-2</v>
      </c>
      <c r="V59" s="93" t="s">
        <v>676</v>
      </c>
      <c r="W59" s="93" t="s">
        <v>676</v>
      </c>
      <c r="X59" s="93" t="s">
        <v>676</v>
      </c>
      <c r="Y59" s="93" t="s">
        <v>676</v>
      </c>
      <c r="Z59" s="93">
        <v>0</v>
      </c>
      <c r="AA59" s="93">
        <v>0</v>
      </c>
      <c r="AB59" s="93">
        <v>0</v>
      </c>
      <c r="AC59" s="93">
        <v>0</v>
      </c>
      <c r="AD59" s="93">
        <v>0</v>
      </c>
      <c r="AE59" s="93">
        <v>0</v>
      </c>
      <c r="AF59" s="93">
        <v>0</v>
      </c>
      <c r="AG59" s="93">
        <v>0</v>
      </c>
      <c r="AH59" s="93">
        <v>2.3145410270605887E-2</v>
      </c>
      <c r="AI59" s="93">
        <v>5.3485522738340625E-2</v>
      </c>
      <c r="AJ59" s="93">
        <v>0</v>
      </c>
      <c r="AK59" s="93">
        <v>7.7663040501013789E-2</v>
      </c>
      <c r="AL59" s="93">
        <v>0.1542939735099603</v>
      </c>
      <c r="AM59" s="93">
        <v>0.22088020476009476</v>
      </c>
      <c r="AN59" s="93">
        <v>2.8190339800649385E-2</v>
      </c>
      <c r="AO59" s="93">
        <v>0</v>
      </c>
      <c r="AP59" s="93">
        <v>0</v>
      </c>
      <c r="AQ59" s="93">
        <v>0.24907054456074415</v>
      </c>
      <c r="AR59" s="93">
        <v>2.3145410270605887E-2</v>
      </c>
      <c r="AS59" s="251">
        <v>10.761120310624078</v>
      </c>
      <c r="AT59" s="93">
        <v>0.22088020476009476</v>
      </c>
      <c r="AU59" s="93">
        <v>3.3368965833157661E-2</v>
      </c>
      <c r="AV59" s="93">
        <v>0</v>
      </c>
      <c r="AW59" s="93">
        <v>0</v>
      </c>
      <c r="AX59" s="93">
        <v>0.25424917059325242</v>
      </c>
      <c r="AY59" s="93">
        <v>5.3485522738340625E-2</v>
      </c>
      <c r="AZ59" s="251">
        <v>4.7536072861637404</v>
      </c>
      <c r="BA59" s="93">
        <v>0.22088020476009476</v>
      </c>
      <c r="BB59" s="93">
        <v>6.1559305633807043E-2</v>
      </c>
      <c r="BC59" s="93">
        <v>0</v>
      </c>
      <c r="BD59" s="93">
        <v>0</v>
      </c>
      <c r="BE59" s="93">
        <v>0.2824395103939018</v>
      </c>
      <c r="BF59" s="93">
        <v>7.6630933008946509E-2</v>
      </c>
      <c r="BG59" s="93">
        <v>2.6131211576614661</v>
      </c>
      <c r="BH59" s="251">
        <v>3.6857114914799167</v>
      </c>
      <c r="BI59" s="93">
        <v>4.0129549235432522</v>
      </c>
      <c r="BJ59" s="93">
        <v>9.273328461310097</v>
      </c>
      <c r="BK59" s="93">
        <v>0</v>
      </c>
      <c r="BL59" s="93">
        <v>13.465230346410442</v>
      </c>
      <c r="BM59" s="93">
        <v>26.751513731263792</v>
      </c>
      <c r="BN59" s="93">
        <v>0.22088020476009476</v>
      </c>
      <c r="BO59" s="93">
        <v>0</v>
      </c>
      <c r="BP59" s="93">
        <v>6.1559305633807043E-2</v>
      </c>
      <c r="BQ59" s="93">
        <v>0</v>
      </c>
      <c r="BR59" s="93">
        <v>0</v>
      </c>
      <c r="BS59" s="93">
        <v>0</v>
      </c>
      <c r="BT59" s="93">
        <v>0</v>
      </c>
      <c r="BU59" s="93">
        <v>0</v>
      </c>
      <c r="BV59" s="93">
        <v>0</v>
      </c>
      <c r="BW59" s="93">
        <v>0</v>
      </c>
      <c r="BX59" s="93">
        <v>0.1542939735099603</v>
      </c>
      <c r="BY59" s="93"/>
      <c r="BZ59" s="93">
        <v>0</v>
      </c>
      <c r="CA59" s="93">
        <v>0</v>
      </c>
      <c r="CB59" s="93">
        <v>0.2824395103939018</v>
      </c>
      <c r="CC59" s="93">
        <v>0.1542939735099603</v>
      </c>
      <c r="CD59" s="251">
        <v>1.8305284643905368</v>
      </c>
      <c r="CE59" s="93">
        <v>16.078351504071904</v>
      </c>
      <c r="CF59" s="93">
        <v>4.0317949023568819E-3</v>
      </c>
      <c r="CG59" s="93">
        <v>0</v>
      </c>
      <c r="CH59" s="93">
        <v>4.0317949023568819E-3</v>
      </c>
      <c r="CI59" s="93">
        <v>2.0158783746910132E-4</v>
      </c>
      <c r="CJ59" s="93">
        <v>0</v>
      </c>
      <c r="CK59" s="93">
        <v>2.0158783746910132E-4</v>
      </c>
      <c r="CL59" s="93"/>
      <c r="CM59" s="93">
        <v>0</v>
      </c>
      <c r="CN59" s="93"/>
      <c r="CO59" s="93">
        <v>0</v>
      </c>
      <c r="CP59" s="93">
        <v>0</v>
      </c>
      <c r="CQ59" s="93">
        <v>0</v>
      </c>
      <c r="CR59" s="93">
        <v>0</v>
      </c>
      <c r="CS59" s="93">
        <v>0</v>
      </c>
      <c r="CT59" s="93">
        <v>0</v>
      </c>
      <c r="CU59" s="93">
        <v>0</v>
      </c>
      <c r="CV59" s="93">
        <v>9999</v>
      </c>
      <c r="CW59" s="251">
        <v>9999</v>
      </c>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row>
    <row r="60" spans="1:131">
      <c r="A60" s="71" t="s">
        <v>493</v>
      </c>
      <c r="B60" s="71" t="s">
        <v>493</v>
      </c>
      <c r="C60" s="93">
        <v>15</v>
      </c>
      <c r="D60" s="93">
        <v>2.6514568417845316E-2</v>
      </c>
      <c r="E60" s="93">
        <v>0</v>
      </c>
      <c r="F60" s="93">
        <v>2.1088272602037467E-2</v>
      </c>
      <c r="G60" s="93">
        <v>0</v>
      </c>
      <c r="H60" s="93">
        <v>0</v>
      </c>
      <c r="I60" s="93" t="s">
        <v>752</v>
      </c>
      <c r="J60" s="93"/>
      <c r="K60" s="93"/>
      <c r="L60" s="93">
        <v>2.8497733744070924E-2</v>
      </c>
      <c r="M60" s="93">
        <v>5.3571855087473207E-6</v>
      </c>
      <c r="N60" s="93">
        <v>5.3185197461406196E-6</v>
      </c>
      <c r="O60" s="93">
        <v>0</v>
      </c>
      <c r="P60" s="93">
        <v>0</v>
      </c>
      <c r="Q60" s="93">
        <v>0</v>
      </c>
      <c r="R60" s="93">
        <v>4.2052832645816341E-3</v>
      </c>
      <c r="S60" s="93">
        <v>9.7177700044742566E-3</v>
      </c>
      <c r="T60" s="93">
        <v>0</v>
      </c>
      <c r="U60" s="93">
        <v>1.4110576597132385E-2</v>
      </c>
      <c r="V60" s="93" t="s">
        <v>676</v>
      </c>
      <c r="W60" s="93" t="s">
        <v>676</v>
      </c>
      <c r="X60" s="93" t="s">
        <v>676</v>
      </c>
      <c r="Y60" s="93" t="s">
        <v>676</v>
      </c>
      <c r="Z60" s="93">
        <v>0</v>
      </c>
      <c r="AA60" s="93">
        <v>0</v>
      </c>
      <c r="AB60" s="93">
        <v>0</v>
      </c>
      <c r="AC60" s="93">
        <v>0</v>
      </c>
      <c r="AD60" s="93">
        <v>0</v>
      </c>
      <c r="AE60" s="93">
        <v>0</v>
      </c>
      <c r="AF60" s="93">
        <v>0</v>
      </c>
      <c r="AG60" s="93">
        <v>0</v>
      </c>
      <c r="AH60" s="93">
        <v>4.2052832645816341E-3</v>
      </c>
      <c r="AI60" s="93">
        <v>9.7177700044742566E-3</v>
      </c>
      <c r="AJ60" s="93">
        <v>0</v>
      </c>
      <c r="AK60" s="93">
        <v>1.4110576597132385E-2</v>
      </c>
      <c r="AL60" s="93">
        <v>2.8033629866188275E-2</v>
      </c>
      <c r="AM60" s="93">
        <v>1.4831886874812487E-2</v>
      </c>
      <c r="AN60" s="93">
        <v>1.8929533832146028E-3</v>
      </c>
      <c r="AO60" s="93">
        <v>0</v>
      </c>
      <c r="AP60" s="93">
        <v>0</v>
      </c>
      <c r="AQ60" s="93">
        <v>1.6724840258027091E-2</v>
      </c>
      <c r="AR60" s="93">
        <v>4.2052832645816341E-3</v>
      </c>
      <c r="AS60" s="251">
        <v>3.9771019467082138</v>
      </c>
      <c r="AT60" s="93">
        <v>1.4831886874812487E-2</v>
      </c>
      <c r="AU60" s="93">
        <v>2.2406929896883767E-3</v>
      </c>
      <c r="AV60" s="93">
        <v>0</v>
      </c>
      <c r="AW60" s="93">
        <v>0</v>
      </c>
      <c r="AX60" s="93">
        <v>1.7072579864500864E-2</v>
      </c>
      <c r="AY60" s="93">
        <v>9.7177700044742566E-3</v>
      </c>
      <c r="AZ60" s="251">
        <v>1.7568413181872287</v>
      </c>
      <c r="BA60" s="93">
        <v>1.4831886874812487E-2</v>
      </c>
      <c r="BB60" s="93">
        <v>4.1336463729029797E-3</v>
      </c>
      <c r="BC60" s="93">
        <v>0</v>
      </c>
      <c r="BD60" s="93">
        <v>0</v>
      </c>
      <c r="BE60" s="93">
        <v>1.8965533247715466E-2</v>
      </c>
      <c r="BF60" s="93">
        <v>1.392305326905589E-2</v>
      </c>
      <c r="BG60" s="93">
        <v>25.276455333854294</v>
      </c>
      <c r="BH60" s="251">
        <v>1.3621676855798959</v>
      </c>
      <c r="BI60" s="93">
        <v>10.8581301942996</v>
      </c>
      <c r="BJ60" s="93">
        <v>25.091487366746577</v>
      </c>
      <c r="BK60" s="93">
        <v>0</v>
      </c>
      <c r="BL60" s="93">
        <v>36.433806754167151</v>
      </c>
      <c r="BM60" s="93">
        <v>72.383424315213318</v>
      </c>
      <c r="BN60" s="93">
        <v>1.4831886874812487E-2</v>
      </c>
      <c r="BO60" s="93">
        <v>0</v>
      </c>
      <c r="BP60" s="93">
        <v>4.1336463729029797E-3</v>
      </c>
      <c r="BQ60" s="93">
        <v>0</v>
      </c>
      <c r="BR60" s="93">
        <v>0</v>
      </c>
      <c r="BS60" s="93">
        <v>0</v>
      </c>
      <c r="BT60" s="93">
        <v>0</v>
      </c>
      <c r="BU60" s="93">
        <v>0</v>
      </c>
      <c r="BV60" s="93">
        <v>0</v>
      </c>
      <c r="BW60" s="93">
        <v>0</v>
      </c>
      <c r="BX60" s="93">
        <v>2.8033629866188275E-2</v>
      </c>
      <c r="BY60" s="93"/>
      <c r="BZ60" s="93">
        <v>0</v>
      </c>
      <c r="CA60" s="93">
        <v>0</v>
      </c>
      <c r="CB60" s="93">
        <v>1.8965533247715466E-2</v>
      </c>
      <c r="CC60" s="93">
        <v>2.8033629866188275E-2</v>
      </c>
      <c r="CD60" s="252">
        <v>0.67652791801285939</v>
      </c>
      <c r="CE60" s="93">
        <v>61.710262088021437</v>
      </c>
      <c r="CF60" s="93">
        <v>2.7073103250312863E-4</v>
      </c>
      <c r="CG60" s="93">
        <v>0</v>
      </c>
      <c r="CH60" s="93">
        <v>2.7073103250312863E-4</v>
      </c>
      <c r="CI60" s="93">
        <v>1.3536423528433687E-5</v>
      </c>
      <c r="CJ60" s="93">
        <v>0</v>
      </c>
      <c r="CK60" s="93">
        <v>1.3536423528433687E-5</v>
      </c>
      <c r="CL60" s="93"/>
      <c r="CM60" s="93">
        <v>0</v>
      </c>
      <c r="CN60" s="93"/>
      <c r="CO60" s="93">
        <v>0</v>
      </c>
      <c r="CP60" s="93">
        <v>0</v>
      </c>
      <c r="CQ60" s="93">
        <v>0</v>
      </c>
      <c r="CR60" s="93">
        <v>0</v>
      </c>
      <c r="CS60" s="93">
        <v>0</v>
      </c>
      <c r="CT60" s="93">
        <v>0</v>
      </c>
      <c r="CU60" s="93">
        <v>0</v>
      </c>
      <c r="CV60" s="93">
        <v>9999</v>
      </c>
      <c r="CW60" s="251">
        <v>9999</v>
      </c>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row>
    <row r="61" spans="1:131">
      <c r="A61" s="71" t="s">
        <v>506</v>
      </c>
      <c r="B61" s="71" t="s">
        <v>506</v>
      </c>
      <c r="C61" s="93">
        <v>15</v>
      </c>
      <c r="D61" s="93">
        <v>0.10611853117726823</v>
      </c>
      <c r="E61" s="93">
        <v>0</v>
      </c>
      <c r="F61" s="93">
        <v>9.4553141516109079E-2</v>
      </c>
      <c r="G61" s="93">
        <v>0</v>
      </c>
      <c r="H61" s="93">
        <v>0</v>
      </c>
      <c r="I61" s="93" t="s">
        <v>781</v>
      </c>
      <c r="J61" s="93"/>
      <c r="K61" s="93"/>
      <c r="L61" s="93">
        <v>0.114179434646312</v>
      </c>
      <c r="M61" s="93">
        <v>1.0514952932098688E-5</v>
      </c>
      <c r="N61" s="93">
        <v>1.0439060717197916E-5</v>
      </c>
      <c r="O61" s="93">
        <v>0</v>
      </c>
      <c r="P61" s="93">
        <v>0</v>
      </c>
      <c r="Q61" s="93">
        <v>0</v>
      </c>
      <c r="R61" s="93">
        <v>1.8855159506658486E-2</v>
      </c>
      <c r="S61" s="93">
        <v>4.3571405766315782E-2</v>
      </c>
      <c r="T61" s="93">
        <v>0</v>
      </c>
      <c r="U61" s="93">
        <v>6.3267360539224535E-2</v>
      </c>
      <c r="V61" s="93" t="s">
        <v>676</v>
      </c>
      <c r="W61" s="93" t="s">
        <v>676</v>
      </c>
      <c r="X61" s="93" t="s">
        <v>676</v>
      </c>
      <c r="Y61" s="93" t="s">
        <v>676</v>
      </c>
      <c r="Z61" s="93">
        <v>0</v>
      </c>
      <c r="AA61" s="93">
        <v>0</v>
      </c>
      <c r="AB61" s="93">
        <v>0</v>
      </c>
      <c r="AC61" s="93">
        <v>0</v>
      </c>
      <c r="AD61" s="93">
        <v>0</v>
      </c>
      <c r="AE61" s="93">
        <v>0</v>
      </c>
      <c r="AF61" s="93">
        <v>0</v>
      </c>
      <c r="AG61" s="93">
        <v>0</v>
      </c>
      <c r="AH61" s="93">
        <v>1.8855159506658486E-2</v>
      </c>
      <c r="AI61" s="93">
        <v>4.3571405766315782E-2</v>
      </c>
      <c r="AJ61" s="93">
        <v>0</v>
      </c>
      <c r="AK61" s="93">
        <v>6.3267360539224535E-2</v>
      </c>
      <c r="AL61" s="93">
        <v>0.12569392581219879</v>
      </c>
      <c r="AM61" s="93">
        <v>6.1156275100641186E-2</v>
      </c>
      <c r="AN61" s="93">
        <v>3.7154426880790961E-3</v>
      </c>
      <c r="AO61" s="93">
        <v>0</v>
      </c>
      <c r="AP61" s="93">
        <v>0</v>
      </c>
      <c r="AQ61" s="93">
        <v>6.4871717788720279E-2</v>
      </c>
      <c r="AR61" s="93">
        <v>1.8855159506658486E-2</v>
      </c>
      <c r="AS61" s="251">
        <v>3.440528719251172</v>
      </c>
      <c r="AT61" s="93">
        <v>6.1156275100641186E-2</v>
      </c>
      <c r="AU61" s="93">
        <v>4.3979774983312139E-3</v>
      </c>
      <c r="AV61" s="93">
        <v>0</v>
      </c>
      <c r="AW61" s="93">
        <v>0</v>
      </c>
      <c r="AX61" s="93">
        <v>6.5554252598972407E-2</v>
      </c>
      <c r="AY61" s="93">
        <v>4.3571405766315782E-2</v>
      </c>
      <c r="AZ61" s="251">
        <v>1.504524617602564</v>
      </c>
      <c r="BA61" s="93">
        <v>6.1156275100641186E-2</v>
      </c>
      <c r="BB61" s="93">
        <v>8.1134201864103105E-3</v>
      </c>
      <c r="BC61" s="93">
        <v>0</v>
      </c>
      <c r="BD61" s="93">
        <v>0</v>
      </c>
      <c r="BE61" s="93">
        <v>6.92696952870515E-2</v>
      </c>
      <c r="BF61" s="93">
        <v>6.2426565272974271E-2</v>
      </c>
      <c r="BG61" s="93">
        <v>35.001542035146421</v>
      </c>
      <c r="BH61" s="251">
        <v>1.1096188775428233</v>
      </c>
      <c r="BI61" s="93">
        <v>12.151011638156067</v>
      </c>
      <c r="BJ61" s="93">
        <v>28.079139737341333</v>
      </c>
      <c r="BK61" s="93">
        <v>0</v>
      </c>
      <c r="BL61" s="93">
        <v>40.771993148933767</v>
      </c>
      <c r="BM61" s="93">
        <v>81.002144524431159</v>
      </c>
      <c r="BN61" s="93">
        <v>6.1156275100641186E-2</v>
      </c>
      <c r="BO61" s="93">
        <v>0</v>
      </c>
      <c r="BP61" s="93">
        <v>8.1134201864103105E-3</v>
      </c>
      <c r="BQ61" s="93">
        <v>0</v>
      </c>
      <c r="BR61" s="93">
        <v>0</v>
      </c>
      <c r="BS61" s="93">
        <v>0</v>
      </c>
      <c r="BT61" s="93">
        <v>0</v>
      </c>
      <c r="BU61" s="93">
        <v>0</v>
      </c>
      <c r="BV61" s="93">
        <v>0</v>
      </c>
      <c r="BW61" s="93">
        <v>0</v>
      </c>
      <c r="BX61" s="93">
        <v>0.12569392581219879</v>
      </c>
      <c r="BY61" s="93"/>
      <c r="BZ61" s="93">
        <v>0</v>
      </c>
      <c r="CA61" s="93">
        <v>0</v>
      </c>
      <c r="CB61" s="93">
        <v>6.9269695287051486E-2</v>
      </c>
      <c r="CC61" s="93">
        <v>0.12569392581219879</v>
      </c>
      <c r="CD61" s="252">
        <v>0.55109819221135947</v>
      </c>
      <c r="CE61" s="93">
        <v>75.773535184080188</v>
      </c>
      <c r="CF61" s="93">
        <v>1.0847072646662681E-3</v>
      </c>
      <c r="CG61" s="93">
        <v>0</v>
      </c>
      <c r="CH61" s="93">
        <v>1.0847072646662681E-3</v>
      </c>
      <c r="CI61" s="93">
        <v>5.4235231456998192E-5</v>
      </c>
      <c r="CJ61" s="93">
        <v>0</v>
      </c>
      <c r="CK61" s="93">
        <v>5.4235231456998192E-5</v>
      </c>
      <c r="CL61" s="93"/>
      <c r="CM61" s="93">
        <v>0</v>
      </c>
      <c r="CN61" s="93"/>
      <c r="CO61" s="93">
        <v>0</v>
      </c>
      <c r="CP61" s="93">
        <v>0</v>
      </c>
      <c r="CQ61" s="93">
        <v>0</v>
      </c>
      <c r="CR61" s="93">
        <v>0</v>
      </c>
      <c r="CS61" s="93">
        <v>0</v>
      </c>
      <c r="CT61" s="93">
        <v>0</v>
      </c>
      <c r="CU61" s="93">
        <v>0</v>
      </c>
      <c r="CV61" s="93">
        <v>9999</v>
      </c>
      <c r="CW61" s="251">
        <v>9999</v>
      </c>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row>
    <row r="62" spans="1:131">
      <c r="A62" s="71" t="s">
        <v>507</v>
      </c>
      <c r="B62" s="71" t="s">
        <v>507</v>
      </c>
      <c r="C62" s="93">
        <v>15</v>
      </c>
      <c r="D62" s="93">
        <v>0.10611853117726823</v>
      </c>
      <c r="E62" s="93">
        <v>0</v>
      </c>
      <c r="F62" s="93">
        <v>9.4553141516109079E-2</v>
      </c>
      <c r="G62" s="93">
        <v>0</v>
      </c>
      <c r="H62" s="93">
        <v>0</v>
      </c>
      <c r="I62" s="93" t="s">
        <v>752</v>
      </c>
      <c r="J62" s="93"/>
      <c r="K62" s="93"/>
      <c r="L62" s="93">
        <v>0.1140556994609167</v>
      </c>
      <c r="M62" s="93">
        <v>2.1440916875335303E-5</v>
      </c>
      <c r="N62" s="93">
        <v>2.1286165952370612E-5</v>
      </c>
      <c r="O62" s="93">
        <v>0</v>
      </c>
      <c r="P62" s="93">
        <v>0</v>
      </c>
      <c r="Q62" s="93">
        <v>0</v>
      </c>
      <c r="R62" s="93">
        <v>1.8855159506658486E-2</v>
      </c>
      <c r="S62" s="93">
        <v>4.3571405766315782E-2</v>
      </c>
      <c r="T62" s="93">
        <v>0</v>
      </c>
      <c r="U62" s="93">
        <v>6.3267360539224535E-2</v>
      </c>
      <c r="V62" s="93" t="s">
        <v>676</v>
      </c>
      <c r="W62" s="93" t="s">
        <v>676</v>
      </c>
      <c r="X62" s="93" t="s">
        <v>676</v>
      </c>
      <c r="Y62" s="93" t="s">
        <v>676</v>
      </c>
      <c r="Z62" s="93">
        <v>0</v>
      </c>
      <c r="AA62" s="93">
        <v>0</v>
      </c>
      <c r="AB62" s="93">
        <v>0</v>
      </c>
      <c r="AC62" s="93">
        <v>0</v>
      </c>
      <c r="AD62" s="93">
        <v>0</v>
      </c>
      <c r="AE62" s="93">
        <v>0</v>
      </c>
      <c r="AF62" s="93">
        <v>0</v>
      </c>
      <c r="AG62" s="93">
        <v>0</v>
      </c>
      <c r="AH62" s="93">
        <v>1.8855159506658486E-2</v>
      </c>
      <c r="AI62" s="93">
        <v>4.3571405766315782E-2</v>
      </c>
      <c r="AJ62" s="93">
        <v>0</v>
      </c>
      <c r="AK62" s="93">
        <v>6.3267360539224535E-2</v>
      </c>
      <c r="AL62" s="93">
        <v>0.12569392581219879</v>
      </c>
      <c r="AM62" s="93">
        <v>5.9361254723768547E-2</v>
      </c>
      <c r="AN62" s="93">
        <v>7.5761154942494222E-3</v>
      </c>
      <c r="AO62" s="93">
        <v>0</v>
      </c>
      <c r="AP62" s="93">
        <v>0</v>
      </c>
      <c r="AQ62" s="93">
        <v>6.6937370218017975E-2</v>
      </c>
      <c r="AR62" s="93">
        <v>1.8855159506658486E-2</v>
      </c>
      <c r="AS62" s="251">
        <v>3.5500824161354774</v>
      </c>
      <c r="AT62" s="93">
        <v>5.9361254723768547E-2</v>
      </c>
      <c r="AU62" s="93">
        <v>8.9678641997015512E-3</v>
      </c>
      <c r="AV62" s="93">
        <v>0</v>
      </c>
      <c r="AW62" s="93">
        <v>0</v>
      </c>
      <c r="AX62" s="93">
        <v>6.83291189234701E-2</v>
      </c>
      <c r="AY62" s="93">
        <v>4.3571405766315782E-2</v>
      </c>
      <c r="AZ62" s="251">
        <v>1.5682101075631127</v>
      </c>
      <c r="BA62" s="93">
        <v>5.9361254723768547E-2</v>
      </c>
      <c r="BB62" s="93">
        <v>1.6543979693950973E-2</v>
      </c>
      <c r="BC62" s="93">
        <v>0</v>
      </c>
      <c r="BD62" s="93">
        <v>0</v>
      </c>
      <c r="BE62" s="93">
        <v>7.5905234417719528E-2</v>
      </c>
      <c r="BF62" s="93">
        <v>6.2426565272974271E-2</v>
      </c>
      <c r="BG62" s="93">
        <v>29.600633484033199</v>
      </c>
      <c r="BH62" s="251">
        <v>1.2159123937991259</v>
      </c>
      <c r="BI62" s="93">
        <v>12.164193861270686</v>
      </c>
      <c r="BJ62" s="93">
        <v>28.109601849954398</v>
      </c>
      <c r="BK62" s="93">
        <v>0</v>
      </c>
      <c r="BL62" s="93">
        <v>40.816225310544844</v>
      </c>
      <c r="BM62" s="93">
        <v>81.090021021769928</v>
      </c>
      <c r="BN62" s="93">
        <v>5.9361254723768547E-2</v>
      </c>
      <c r="BO62" s="93">
        <v>0</v>
      </c>
      <c r="BP62" s="93">
        <v>1.6543979693950973E-2</v>
      </c>
      <c r="BQ62" s="93">
        <v>0</v>
      </c>
      <c r="BR62" s="93">
        <v>0</v>
      </c>
      <c r="BS62" s="93">
        <v>0</v>
      </c>
      <c r="BT62" s="93">
        <v>0</v>
      </c>
      <c r="BU62" s="93">
        <v>0</v>
      </c>
      <c r="BV62" s="93">
        <v>0</v>
      </c>
      <c r="BW62" s="93">
        <v>0</v>
      </c>
      <c r="BX62" s="93">
        <v>0.12569392581219879</v>
      </c>
      <c r="BY62" s="93"/>
      <c r="BZ62" s="93">
        <v>0</v>
      </c>
      <c r="CA62" s="93">
        <v>0</v>
      </c>
      <c r="CB62" s="93">
        <v>7.5905234417719528E-2</v>
      </c>
      <c r="CC62" s="93">
        <v>0.12569392581219879</v>
      </c>
      <c r="CD62" s="252">
        <v>0.60388943958302876</v>
      </c>
      <c r="CE62" s="93">
        <v>70.416858794578033</v>
      </c>
      <c r="CF62" s="93">
        <v>1.0835393984388276E-3</v>
      </c>
      <c r="CG62" s="93">
        <v>0</v>
      </c>
      <c r="CH62" s="93">
        <v>1.0835393984388276E-3</v>
      </c>
      <c r="CI62" s="93">
        <v>5.4176457243935441E-5</v>
      </c>
      <c r="CJ62" s="93">
        <v>0</v>
      </c>
      <c r="CK62" s="93">
        <v>5.4176457243935441E-5</v>
      </c>
      <c r="CL62" s="93"/>
      <c r="CM62" s="93">
        <v>0</v>
      </c>
      <c r="CN62" s="93"/>
      <c r="CO62" s="93">
        <v>0</v>
      </c>
      <c r="CP62" s="93">
        <v>0</v>
      </c>
      <c r="CQ62" s="93">
        <v>0</v>
      </c>
      <c r="CR62" s="93">
        <v>0</v>
      </c>
      <c r="CS62" s="93">
        <v>0</v>
      </c>
      <c r="CT62" s="93">
        <v>0</v>
      </c>
      <c r="CU62" s="93">
        <v>0</v>
      </c>
      <c r="CV62" s="93">
        <v>9999</v>
      </c>
      <c r="CW62" s="251">
        <v>9999</v>
      </c>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row>
    <row r="63" spans="1:131">
      <c r="A63" s="71" t="s">
        <v>505</v>
      </c>
      <c r="B63" s="71" t="s">
        <v>505</v>
      </c>
      <c r="C63" s="93">
        <v>15</v>
      </c>
      <c r="D63" s="93">
        <v>4.6477344354489553E-2</v>
      </c>
      <c r="E63" s="93">
        <v>0</v>
      </c>
      <c r="F63" s="93">
        <v>3.7784319235833738E-2</v>
      </c>
      <c r="G63" s="93">
        <v>0</v>
      </c>
      <c r="H63" s="93">
        <v>0</v>
      </c>
      <c r="I63" s="93" t="s">
        <v>752</v>
      </c>
      <c r="J63" s="93"/>
      <c r="K63" s="93"/>
      <c r="L63" s="93">
        <v>4.9953631666669059E-2</v>
      </c>
      <c r="M63" s="93">
        <v>9.3906018660048138E-6</v>
      </c>
      <c r="N63" s="93">
        <v>9.3228247128910911E-6</v>
      </c>
      <c r="O63" s="93">
        <v>0</v>
      </c>
      <c r="P63" s="93">
        <v>0</v>
      </c>
      <c r="Q63" s="93">
        <v>0</v>
      </c>
      <c r="R63" s="93">
        <v>7.5346979975358351E-3</v>
      </c>
      <c r="S63" s="93">
        <v>1.7411541051209161E-2</v>
      </c>
      <c r="T63" s="93">
        <v>0</v>
      </c>
      <c r="U63" s="93">
        <v>2.5282228696921476E-2</v>
      </c>
      <c r="V63" s="93" t="s">
        <v>676</v>
      </c>
      <c r="W63" s="93" t="s">
        <v>676</v>
      </c>
      <c r="X63" s="93" t="s">
        <v>676</v>
      </c>
      <c r="Y63" s="93" t="s">
        <v>676</v>
      </c>
      <c r="Z63" s="93">
        <v>0</v>
      </c>
      <c r="AA63" s="93">
        <v>0</v>
      </c>
      <c r="AB63" s="93">
        <v>0</v>
      </c>
      <c r="AC63" s="93">
        <v>0</v>
      </c>
      <c r="AD63" s="93">
        <v>0</v>
      </c>
      <c r="AE63" s="93">
        <v>0</v>
      </c>
      <c r="AF63" s="93">
        <v>0</v>
      </c>
      <c r="AG63" s="93">
        <v>0</v>
      </c>
      <c r="AH63" s="93">
        <v>7.5346979975358351E-3</v>
      </c>
      <c r="AI63" s="93">
        <v>1.7411541051209161E-2</v>
      </c>
      <c r="AJ63" s="93">
        <v>0</v>
      </c>
      <c r="AK63" s="93">
        <v>2.5282228696921476E-2</v>
      </c>
      <c r="AL63" s="93">
        <v>5.0228467745666472E-2</v>
      </c>
      <c r="AM63" s="93">
        <v>2.5998790658932139E-2</v>
      </c>
      <c r="AN63" s="93">
        <v>3.3181549423013657E-3</v>
      </c>
      <c r="AO63" s="93">
        <v>0</v>
      </c>
      <c r="AP63" s="93">
        <v>0</v>
      </c>
      <c r="AQ63" s="93">
        <v>2.9316945601233504E-2</v>
      </c>
      <c r="AR63" s="93">
        <v>7.5346979975358351E-3</v>
      </c>
      <c r="AS63" s="251">
        <v>3.8909251055346061</v>
      </c>
      <c r="AT63" s="93">
        <v>2.5998790658932139E-2</v>
      </c>
      <c r="AU63" s="93">
        <v>3.9277071394587058E-3</v>
      </c>
      <c r="AV63" s="93">
        <v>0</v>
      </c>
      <c r="AW63" s="93">
        <v>0</v>
      </c>
      <c r="AX63" s="93">
        <v>2.9926497798390843E-2</v>
      </c>
      <c r="AY63" s="93">
        <v>1.7411541051209161E-2</v>
      </c>
      <c r="AZ63" s="251">
        <v>1.7187736404476712</v>
      </c>
      <c r="BA63" s="93">
        <v>2.5998790658932139E-2</v>
      </c>
      <c r="BB63" s="93">
        <v>7.2458620817600714E-3</v>
      </c>
      <c r="BC63" s="93">
        <v>0</v>
      </c>
      <c r="BD63" s="93">
        <v>0</v>
      </c>
      <c r="BE63" s="93">
        <v>3.3244652740692208E-2</v>
      </c>
      <c r="BF63" s="93">
        <v>2.4946239048744996E-2</v>
      </c>
      <c r="BG63" s="93">
        <v>26.072673302276122</v>
      </c>
      <c r="BH63" s="251">
        <v>1.3326518949703039</v>
      </c>
      <c r="BI63" s="93">
        <v>11.098617825342794</v>
      </c>
      <c r="BJ63" s="93">
        <v>25.647217704125204</v>
      </c>
      <c r="BK63" s="93">
        <v>0</v>
      </c>
      <c r="BL63" s="93">
        <v>37.240748623476769</v>
      </c>
      <c r="BM63" s="93">
        <v>73.986584152944772</v>
      </c>
      <c r="BN63" s="93">
        <v>2.5998790658932139E-2</v>
      </c>
      <c r="BO63" s="93">
        <v>0</v>
      </c>
      <c r="BP63" s="93">
        <v>7.2458620817600714E-3</v>
      </c>
      <c r="BQ63" s="93">
        <v>0</v>
      </c>
      <c r="BR63" s="93">
        <v>0</v>
      </c>
      <c r="BS63" s="93">
        <v>0</v>
      </c>
      <c r="BT63" s="93">
        <v>0</v>
      </c>
      <c r="BU63" s="93">
        <v>0</v>
      </c>
      <c r="BV63" s="93">
        <v>0</v>
      </c>
      <c r="BW63" s="93">
        <v>0</v>
      </c>
      <c r="BX63" s="93">
        <v>5.0228467745666472E-2</v>
      </c>
      <c r="BY63" s="93"/>
      <c r="BZ63" s="93">
        <v>0</v>
      </c>
      <c r="CA63" s="93">
        <v>0</v>
      </c>
      <c r="CB63" s="93">
        <v>3.3244652740692208E-2</v>
      </c>
      <c r="CC63" s="93">
        <v>5.0228467745666472E-2</v>
      </c>
      <c r="CD63" s="252">
        <v>0.66186874162731024</v>
      </c>
      <c r="CE63" s="93">
        <v>63.313421925752898</v>
      </c>
      <c r="CF63" s="93">
        <v>4.7456399164414294E-4</v>
      </c>
      <c r="CG63" s="93">
        <v>0</v>
      </c>
      <c r="CH63" s="93">
        <v>4.7456399164414294E-4</v>
      </c>
      <c r="CI63" s="93">
        <v>2.3727975041667799E-5</v>
      </c>
      <c r="CJ63" s="93">
        <v>0</v>
      </c>
      <c r="CK63" s="93">
        <v>2.3727975041667799E-5</v>
      </c>
      <c r="CL63" s="93"/>
      <c r="CM63" s="93">
        <v>0</v>
      </c>
      <c r="CN63" s="93"/>
      <c r="CO63" s="93">
        <v>0</v>
      </c>
      <c r="CP63" s="93">
        <v>0</v>
      </c>
      <c r="CQ63" s="93">
        <v>0</v>
      </c>
      <c r="CR63" s="93">
        <v>0</v>
      </c>
      <c r="CS63" s="93">
        <v>0</v>
      </c>
      <c r="CT63" s="93">
        <v>0</v>
      </c>
      <c r="CU63" s="93">
        <v>0</v>
      </c>
      <c r="CV63" s="93">
        <v>9999</v>
      </c>
      <c r="CW63" s="251">
        <v>9999</v>
      </c>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row>
    <row r="64" spans="1:131">
      <c r="A64" s="71" t="s">
        <v>495</v>
      </c>
      <c r="B64" s="71" t="s">
        <v>495</v>
      </c>
      <c r="C64" s="93">
        <v>15</v>
      </c>
      <c r="D64" s="93">
        <v>0.91933584896114628</v>
      </c>
      <c r="E64" s="93">
        <v>0</v>
      </c>
      <c r="F64" s="93">
        <v>0.29228310942328339</v>
      </c>
      <c r="G64" s="93">
        <v>0</v>
      </c>
      <c r="H64" s="93">
        <v>0</v>
      </c>
      <c r="I64" s="93" t="s">
        <v>752</v>
      </c>
      <c r="J64" s="93"/>
      <c r="K64" s="93"/>
      <c r="L64" s="93">
        <v>0.98809785745715661</v>
      </c>
      <c r="M64" s="93">
        <v>1.8574892904580788E-4</v>
      </c>
      <c r="N64" s="93">
        <v>1.844082765738696E-4</v>
      </c>
      <c r="O64" s="93">
        <v>0</v>
      </c>
      <c r="P64" s="93">
        <v>0</v>
      </c>
      <c r="Q64" s="93">
        <v>0</v>
      </c>
      <c r="R64" s="93">
        <v>5.8285156483554854E-2</v>
      </c>
      <c r="S64" s="93">
        <v>0.13468813151123757</v>
      </c>
      <c r="T64" s="93">
        <v>0</v>
      </c>
      <c r="U64" s="93">
        <v>0.19557235821993285</v>
      </c>
      <c r="V64" s="93" t="s">
        <v>676</v>
      </c>
      <c r="W64" s="93" t="s">
        <v>676</v>
      </c>
      <c r="X64" s="93" t="s">
        <v>676</v>
      </c>
      <c r="Y64" s="93" t="s">
        <v>676</v>
      </c>
      <c r="Z64" s="93">
        <v>0</v>
      </c>
      <c r="AA64" s="93">
        <v>0</v>
      </c>
      <c r="AB64" s="93">
        <v>0</v>
      </c>
      <c r="AC64" s="93">
        <v>0</v>
      </c>
      <c r="AD64" s="93">
        <v>0</v>
      </c>
      <c r="AE64" s="93">
        <v>0</v>
      </c>
      <c r="AF64" s="93">
        <v>0</v>
      </c>
      <c r="AG64" s="93">
        <v>0</v>
      </c>
      <c r="AH64" s="93">
        <v>5.8285156483554854E-2</v>
      </c>
      <c r="AI64" s="93">
        <v>0.13468813151123757</v>
      </c>
      <c r="AJ64" s="93">
        <v>0</v>
      </c>
      <c r="AK64" s="93">
        <v>0.19557235821993285</v>
      </c>
      <c r="AL64" s="93">
        <v>0.38854564621472526</v>
      </c>
      <c r="AM64" s="93">
        <v>0.51426389812832973</v>
      </c>
      <c r="AN64" s="93">
        <v>6.563410266298017E-2</v>
      </c>
      <c r="AO64" s="93">
        <v>0</v>
      </c>
      <c r="AP64" s="93">
        <v>0</v>
      </c>
      <c r="AQ64" s="93">
        <v>0.57989800079130993</v>
      </c>
      <c r="AR64" s="93">
        <v>5.8285156483554854E-2</v>
      </c>
      <c r="AS64" s="251">
        <v>9.9493256221234994</v>
      </c>
      <c r="AT64" s="93">
        <v>0.51426389812832973</v>
      </c>
      <c r="AU64" s="93">
        <v>7.7691228439910373E-2</v>
      </c>
      <c r="AV64" s="93">
        <v>0</v>
      </c>
      <c r="AW64" s="93">
        <v>0</v>
      </c>
      <c r="AX64" s="93">
        <v>0.59195512656824012</v>
      </c>
      <c r="AY64" s="93">
        <v>0.13468813151123757</v>
      </c>
      <c r="AZ64" s="251">
        <v>4.3950058548317665</v>
      </c>
      <c r="BA64" s="93">
        <v>0.51426389812832973</v>
      </c>
      <c r="BB64" s="93">
        <v>0.14332533110289053</v>
      </c>
      <c r="BC64" s="93">
        <v>0</v>
      </c>
      <c r="BD64" s="93">
        <v>0</v>
      </c>
      <c r="BE64" s="93">
        <v>0.65758922923122032</v>
      </c>
      <c r="BF64" s="93">
        <v>0.19297328799479241</v>
      </c>
      <c r="BG64" s="93">
        <v>3.6971880272545246</v>
      </c>
      <c r="BH64" s="251">
        <v>3.4076697146237467</v>
      </c>
      <c r="BI64" s="93">
        <v>4.3403836976986385</v>
      </c>
      <c r="BJ64" s="93">
        <v>10.029966556747773</v>
      </c>
      <c r="BK64" s="93">
        <v>0</v>
      </c>
      <c r="BL64" s="93">
        <v>14.563898023981119</v>
      </c>
      <c r="BM64" s="93">
        <v>28.934248278427532</v>
      </c>
      <c r="BN64" s="93">
        <v>0.51426389812832973</v>
      </c>
      <c r="BO64" s="93">
        <v>0</v>
      </c>
      <c r="BP64" s="93">
        <v>0.14332533110289053</v>
      </c>
      <c r="BQ64" s="93">
        <v>0</v>
      </c>
      <c r="BR64" s="93">
        <v>0</v>
      </c>
      <c r="BS64" s="93">
        <v>0</v>
      </c>
      <c r="BT64" s="93">
        <v>0</v>
      </c>
      <c r="BU64" s="93">
        <v>0</v>
      </c>
      <c r="BV64" s="93">
        <v>0</v>
      </c>
      <c r="BW64" s="93">
        <v>0</v>
      </c>
      <c r="BX64" s="93">
        <v>0.38854564621472526</v>
      </c>
      <c r="BY64" s="93"/>
      <c r="BZ64" s="93">
        <v>0</v>
      </c>
      <c r="CA64" s="93">
        <v>0</v>
      </c>
      <c r="CB64" s="93">
        <v>0.65758922923122032</v>
      </c>
      <c r="CC64" s="93">
        <v>0.38854564621472526</v>
      </c>
      <c r="CD64" s="251">
        <v>1.6924375183136429</v>
      </c>
      <c r="CE64" s="93">
        <v>18.261086051235644</v>
      </c>
      <c r="CF64" s="93">
        <v>9.3870184754309399E-3</v>
      </c>
      <c r="CG64" s="93">
        <v>0</v>
      </c>
      <c r="CH64" s="93">
        <v>9.3870184754309399E-3</v>
      </c>
      <c r="CI64" s="93">
        <v>4.6934648229214929E-4</v>
      </c>
      <c r="CJ64" s="93">
        <v>0</v>
      </c>
      <c r="CK64" s="93">
        <v>4.6934648229214929E-4</v>
      </c>
      <c r="CL64" s="93"/>
      <c r="CM64" s="93">
        <v>0</v>
      </c>
      <c r="CN64" s="93"/>
      <c r="CO64" s="93">
        <v>0</v>
      </c>
      <c r="CP64" s="93">
        <v>0</v>
      </c>
      <c r="CQ64" s="93">
        <v>0</v>
      </c>
      <c r="CR64" s="93">
        <v>0</v>
      </c>
      <c r="CS64" s="93">
        <v>0</v>
      </c>
      <c r="CT64" s="93">
        <v>0</v>
      </c>
      <c r="CU64" s="93">
        <v>0</v>
      </c>
      <c r="CV64" s="93">
        <v>9999</v>
      </c>
      <c r="CW64" s="251">
        <v>9999</v>
      </c>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row>
    <row r="65" spans="1:131">
      <c r="A65" s="71" t="s">
        <v>496</v>
      </c>
      <c r="B65" s="71" t="s">
        <v>496</v>
      </c>
      <c r="C65" s="93">
        <v>15</v>
      </c>
      <c r="D65" s="93">
        <v>0.91933584896114628</v>
      </c>
      <c r="E65" s="93">
        <v>0</v>
      </c>
      <c r="F65" s="93">
        <v>0.29228310942328339</v>
      </c>
      <c r="G65" s="93">
        <v>0</v>
      </c>
      <c r="H65" s="93">
        <v>0</v>
      </c>
      <c r="I65" s="93" t="s">
        <v>752</v>
      </c>
      <c r="J65" s="93"/>
      <c r="K65" s="93"/>
      <c r="L65" s="93">
        <v>0.98809785745715661</v>
      </c>
      <c r="M65" s="93">
        <v>1.8574892904580788E-4</v>
      </c>
      <c r="N65" s="93">
        <v>1.844082765738696E-4</v>
      </c>
      <c r="O65" s="93">
        <v>0</v>
      </c>
      <c r="P65" s="93">
        <v>0</v>
      </c>
      <c r="Q65" s="93">
        <v>0</v>
      </c>
      <c r="R65" s="93">
        <v>5.8285156483554854E-2</v>
      </c>
      <c r="S65" s="93">
        <v>0.13468813151123757</v>
      </c>
      <c r="T65" s="93">
        <v>0</v>
      </c>
      <c r="U65" s="93">
        <v>0.19557235821993285</v>
      </c>
      <c r="V65" s="93" t="s">
        <v>676</v>
      </c>
      <c r="W65" s="93" t="s">
        <v>676</v>
      </c>
      <c r="X65" s="93" t="s">
        <v>676</v>
      </c>
      <c r="Y65" s="93" t="s">
        <v>676</v>
      </c>
      <c r="Z65" s="93">
        <v>0</v>
      </c>
      <c r="AA65" s="93">
        <v>0</v>
      </c>
      <c r="AB65" s="93">
        <v>0</v>
      </c>
      <c r="AC65" s="93">
        <v>0</v>
      </c>
      <c r="AD65" s="93">
        <v>0</v>
      </c>
      <c r="AE65" s="93">
        <v>0</v>
      </c>
      <c r="AF65" s="93">
        <v>0</v>
      </c>
      <c r="AG65" s="93">
        <v>0</v>
      </c>
      <c r="AH65" s="93">
        <v>5.8285156483554854E-2</v>
      </c>
      <c r="AI65" s="93">
        <v>0.13468813151123757</v>
      </c>
      <c r="AJ65" s="93">
        <v>0</v>
      </c>
      <c r="AK65" s="93">
        <v>0.19557235821993285</v>
      </c>
      <c r="AL65" s="93">
        <v>0.38854564621472526</v>
      </c>
      <c r="AM65" s="93">
        <v>0.51426389812832973</v>
      </c>
      <c r="AN65" s="93">
        <v>6.563410266298017E-2</v>
      </c>
      <c r="AO65" s="93">
        <v>0</v>
      </c>
      <c r="AP65" s="93">
        <v>0</v>
      </c>
      <c r="AQ65" s="93">
        <v>0.57989800079130993</v>
      </c>
      <c r="AR65" s="93">
        <v>5.8285156483554854E-2</v>
      </c>
      <c r="AS65" s="251">
        <v>9.9493256221234994</v>
      </c>
      <c r="AT65" s="93">
        <v>0.51426389812832973</v>
      </c>
      <c r="AU65" s="93">
        <v>7.7691228439910373E-2</v>
      </c>
      <c r="AV65" s="93">
        <v>0</v>
      </c>
      <c r="AW65" s="93">
        <v>0</v>
      </c>
      <c r="AX65" s="93">
        <v>0.59195512656824012</v>
      </c>
      <c r="AY65" s="93">
        <v>0.13468813151123757</v>
      </c>
      <c r="AZ65" s="251">
        <v>4.3950058548317665</v>
      </c>
      <c r="BA65" s="93">
        <v>0.51426389812832973</v>
      </c>
      <c r="BB65" s="93">
        <v>0.14332533110289053</v>
      </c>
      <c r="BC65" s="93">
        <v>0</v>
      </c>
      <c r="BD65" s="93">
        <v>0</v>
      </c>
      <c r="BE65" s="93">
        <v>0.65758922923122032</v>
      </c>
      <c r="BF65" s="93">
        <v>0.19297328799479241</v>
      </c>
      <c r="BG65" s="93">
        <v>3.6971880272545246</v>
      </c>
      <c r="BH65" s="251">
        <v>3.4076697146237467</v>
      </c>
      <c r="BI65" s="93">
        <v>4.3403836976986385</v>
      </c>
      <c r="BJ65" s="93">
        <v>10.029966556747773</v>
      </c>
      <c r="BK65" s="93">
        <v>0</v>
      </c>
      <c r="BL65" s="93">
        <v>14.563898023981119</v>
      </c>
      <c r="BM65" s="93">
        <v>28.934248278427532</v>
      </c>
      <c r="BN65" s="93">
        <v>0.51426389812832973</v>
      </c>
      <c r="BO65" s="93">
        <v>0</v>
      </c>
      <c r="BP65" s="93">
        <v>0.14332533110289053</v>
      </c>
      <c r="BQ65" s="93">
        <v>0</v>
      </c>
      <c r="BR65" s="93">
        <v>0</v>
      </c>
      <c r="BS65" s="93">
        <v>0</v>
      </c>
      <c r="BT65" s="93">
        <v>0</v>
      </c>
      <c r="BU65" s="93">
        <v>0</v>
      </c>
      <c r="BV65" s="93">
        <v>0</v>
      </c>
      <c r="BW65" s="93">
        <v>0</v>
      </c>
      <c r="BX65" s="93">
        <v>0.38854564621472526</v>
      </c>
      <c r="BY65" s="93"/>
      <c r="BZ65" s="93">
        <v>0</v>
      </c>
      <c r="CA65" s="93">
        <v>0</v>
      </c>
      <c r="CB65" s="93">
        <v>0.65758922923122032</v>
      </c>
      <c r="CC65" s="93">
        <v>0.38854564621472526</v>
      </c>
      <c r="CD65" s="251">
        <v>1.6924375183136429</v>
      </c>
      <c r="CE65" s="93">
        <v>18.261086051235644</v>
      </c>
      <c r="CF65" s="93">
        <v>9.3870184754309399E-3</v>
      </c>
      <c r="CG65" s="93">
        <v>0</v>
      </c>
      <c r="CH65" s="93">
        <v>9.3870184754309399E-3</v>
      </c>
      <c r="CI65" s="93">
        <v>4.6934648229214929E-4</v>
      </c>
      <c r="CJ65" s="93">
        <v>0</v>
      </c>
      <c r="CK65" s="93">
        <v>4.6934648229214929E-4</v>
      </c>
      <c r="CL65" s="93"/>
      <c r="CM65" s="93">
        <v>0</v>
      </c>
      <c r="CN65" s="93"/>
      <c r="CO65" s="93">
        <v>0</v>
      </c>
      <c r="CP65" s="93">
        <v>0</v>
      </c>
      <c r="CQ65" s="93">
        <v>0</v>
      </c>
      <c r="CR65" s="93">
        <v>0</v>
      </c>
      <c r="CS65" s="93">
        <v>0</v>
      </c>
      <c r="CT65" s="93">
        <v>0</v>
      </c>
      <c r="CU65" s="93">
        <v>0</v>
      </c>
      <c r="CV65" s="93">
        <v>9999</v>
      </c>
      <c r="CW65" s="251">
        <v>9999</v>
      </c>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row>
    <row r="66" spans="1:131">
      <c r="A66" s="71" t="s">
        <v>497</v>
      </c>
      <c r="B66" s="71" t="s">
        <v>497</v>
      </c>
      <c r="C66" s="93">
        <v>15</v>
      </c>
      <c r="D66" s="93">
        <v>2.0063752897795508</v>
      </c>
      <c r="E66" s="93">
        <v>0</v>
      </c>
      <c r="F66" s="93">
        <v>0.73229385146975234</v>
      </c>
      <c r="G66" s="93">
        <v>0</v>
      </c>
      <c r="H66" s="93">
        <v>0</v>
      </c>
      <c r="I66" s="93" t="s">
        <v>752</v>
      </c>
      <c r="J66" s="93"/>
      <c r="K66" s="93"/>
      <c r="L66" s="93">
        <v>2.1564427486716466</v>
      </c>
      <c r="M66" s="93">
        <v>4.0538184360117846E-4</v>
      </c>
      <c r="N66" s="93">
        <v>4.0245597924494953E-4</v>
      </c>
      <c r="O66" s="93">
        <v>0</v>
      </c>
      <c r="P66" s="93">
        <v>0</v>
      </c>
      <c r="Q66" s="93">
        <v>0</v>
      </c>
      <c r="R66" s="93">
        <v>0.14602917633207418</v>
      </c>
      <c r="S66" s="93">
        <v>0.3374512155910836</v>
      </c>
      <c r="T66" s="93">
        <v>0</v>
      </c>
      <c r="U66" s="93">
        <v>0.48999217137276013</v>
      </c>
      <c r="V66" s="93" t="s">
        <v>676</v>
      </c>
      <c r="W66" s="93" t="s">
        <v>676</v>
      </c>
      <c r="X66" s="93" t="s">
        <v>676</v>
      </c>
      <c r="Y66" s="93" t="s">
        <v>676</v>
      </c>
      <c r="Z66" s="93">
        <v>0</v>
      </c>
      <c r="AA66" s="93">
        <v>0</v>
      </c>
      <c r="AB66" s="93">
        <v>0</v>
      </c>
      <c r="AC66" s="93">
        <v>0</v>
      </c>
      <c r="AD66" s="93">
        <v>0</v>
      </c>
      <c r="AE66" s="93">
        <v>0</v>
      </c>
      <c r="AF66" s="93">
        <v>0</v>
      </c>
      <c r="AG66" s="93">
        <v>0</v>
      </c>
      <c r="AH66" s="93">
        <v>0.14602917633207418</v>
      </c>
      <c r="AI66" s="93">
        <v>0.3374512155910836</v>
      </c>
      <c r="AJ66" s="93">
        <v>0</v>
      </c>
      <c r="AK66" s="93">
        <v>0.48999217137276013</v>
      </c>
      <c r="AL66" s="93">
        <v>0.97347256329591791</v>
      </c>
      <c r="AM66" s="93">
        <v>1.1223388914903458</v>
      </c>
      <c r="AN66" s="93">
        <v>0.14324106027048128</v>
      </c>
      <c r="AO66" s="93">
        <v>0</v>
      </c>
      <c r="AP66" s="93">
        <v>0</v>
      </c>
      <c r="AQ66" s="93">
        <v>1.265579951760827</v>
      </c>
      <c r="AR66" s="93">
        <v>0.14602917633207418</v>
      </c>
      <c r="AS66" s="251">
        <v>8.6666239141338774</v>
      </c>
      <c r="AT66" s="93">
        <v>1.1223388914903458</v>
      </c>
      <c r="AU66" s="93">
        <v>0.16955475102009457</v>
      </c>
      <c r="AV66" s="93">
        <v>0</v>
      </c>
      <c r="AW66" s="93">
        <v>0</v>
      </c>
      <c r="AX66" s="93">
        <v>1.2918936425104404</v>
      </c>
      <c r="AY66" s="93">
        <v>0.3374512155910836</v>
      </c>
      <c r="AZ66" s="251">
        <v>3.8283863943045633</v>
      </c>
      <c r="BA66" s="93">
        <v>1.1223388914903458</v>
      </c>
      <c r="BB66" s="93">
        <v>0.31279581129057588</v>
      </c>
      <c r="BC66" s="93">
        <v>0</v>
      </c>
      <c r="BD66" s="93">
        <v>0</v>
      </c>
      <c r="BE66" s="93">
        <v>1.4351347027809216</v>
      </c>
      <c r="BF66" s="93">
        <v>0.48348039192315778</v>
      </c>
      <c r="BG66" s="93">
        <v>5.8240684594060257</v>
      </c>
      <c r="BH66" s="251">
        <v>2.9683410677159694</v>
      </c>
      <c r="BI66" s="93">
        <v>4.982781203062725</v>
      </c>
      <c r="BJ66" s="93">
        <v>11.514449483535175</v>
      </c>
      <c r="BK66" s="93">
        <v>0</v>
      </c>
      <c r="BL66" s="93">
        <v>16.719424449892053</v>
      </c>
      <c r="BM66" s="93">
        <v>33.216655136489955</v>
      </c>
      <c r="BN66" s="93">
        <v>1.1223388914903458</v>
      </c>
      <c r="BO66" s="93">
        <v>0</v>
      </c>
      <c r="BP66" s="93">
        <v>0.31279581129057588</v>
      </c>
      <c r="BQ66" s="93">
        <v>0</v>
      </c>
      <c r="BR66" s="93">
        <v>0</v>
      </c>
      <c r="BS66" s="93">
        <v>0</v>
      </c>
      <c r="BT66" s="93">
        <v>0</v>
      </c>
      <c r="BU66" s="93">
        <v>0</v>
      </c>
      <c r="BV66" s="93">
        <v>0</v>
      </c>
      <c r="BW66" s="93">
        <v>0</v>
      </c>
      <c r="BX66" s="93">
        <v>0.97347256329591791</v>
      </c>
      <c r="BY66" s="93"/>
      <c r="BZ66" s="93">
        <v>0</v>
      </c>
      <c r="CA66" s="93">
        <v>0</v>
      </c>
      <c r="CB66" s="93">
        <v>1.4351347027809216</v>
      </c>
      <c r="CC66" s="93">
        <v>0.97347256329591791</v>
      </c>
      <c r="CD66" s="251">
        <v>1.4742425794949363</v>
      </c>
      <c r="CE66" s="93">
        <v>22.543492909298074</v>
      </c>
      <c r="CF66" s="93">
        <v>2.0486399975690191E-2</v>
      </c>
      <c r="CG66" s="93">
        <v>0</v>
      </c>
      <c r="CH66" s="93">
        <v>2.0486399975690191E-2</v>
      </c>
      <c r="CI66" s="93">
        <v>1.0243103056190317E-3</v>
      </c>
      <c r="CJ66" s="93">
        <v>0</v>
      </c>
      <c r="CK66" s="93">
        <v>1.0243103056190317E-3</v>
      </c>
      <c r="CL66" s="93"/>
      <c r="CM66" s="93">
        <v>0</v>
      </c>
      <c r="CN66" s="93"/>
      <c r="CO66" s="93">
        <v>0</v>
      </c>
      <c r="CP66" s="93">
        <v>0</v>
      </c>
      <c r="CQ66" s="93">
        <v>0</v>
      </c>
      <c r="CR66" s="93">
        <v>0</v>
      </c>
      <c r="CS66" s="93">
        <v>0</v>
      </c>
      <c r="CT66" s="93">
        <v>0</v>
      </c>
      <c r="CU66" s="93">
        <v>0</v>
      </c>
      <c r="CV66" s="93">
        <v>9999</v>
      </c>
      <c r="CW66" s="251">
        <v>9999</v>
      </c>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row>
    <row r="67" spans="1:131">
      <c r="A67" s="71" t="s">
        <v>499</v>
      </c>
      <c r="B67" s="71" t="s">
        <v>499</v>
      </c>
      <c r="C67" s="93">
        <v>15</v>
      </c>
      <c r="D67" s="93">
        <v>0.11384121765439638</v>
      </c>
      <c r="E67" s="93">
        <v>0</v>
      </c>
      <c r="F67" s="93">
        <v>6.186975639218098E-2</v>
      </c>
      <c r="G67" s="93">
        <v>0</v>
      </c>
      <c r="H67" s="93">
        <v>0</v>
      </c>
      <c r="I67" s="93" t="s">
        <v>752</v>
      </c>
      <c r="J67" s="93"/>
      <c r="K67" s="93"/>
      <c r="L67" s="93">
        <v>0.12235600665603641</v>
      </c>
      <c r="M67" s="93">
        <v>2.3001261491618969E-5</v>
      </c>
      <c r="N67" s="93">
        <v>2.2835248700940464E-5</v>
      </c>
      <c r="O67" s="93">
        <v>0</v>
      </c>
      <c r="P67" s="93">
        <v>0</v>
      </c>
      <c r="Q67" s="93">
        <v>0</v>
      </c>
      <c r="R67" s="93">
        <v>1.233765591187605E-2</v>
      </c>
      <c r="S67" s="93">
        <v>2.8510446265474425E-2</v>
      </c>
      <c r="T67" s="93">
        <v>0</v>
      </c>
      <c r="U67" s="93">
        <v>4.1398266851569575E-2</v>
      </c>
      <c r="V67" s="93" t="s">
        <v>676</v>
      </c>
      <c r="W67" s="93" t="s">
        <v>676</v>
      </c>
      <c r="X67" s="93" t="s">
        <v>676</v>
      </c>
      <c r="Y67" s="93" t="s">
        <v>676</v>
      </c>
      <c r="Z67" s="93">
        <v>0</v>
      </c>
      <c r="AA67" s="93">
        <v>0</v>
      </c>
      <c r="AB67" s="93">
        <v>0</v>
      </c>
      <c r="AC67" s="93">
        <v>0</v>
      </c>
      <c r="AD67" s="93">
        <v>0</v>
      </c>
      <c r="AE67" s="93">
        <v>0</v>
      </c>
      <c r="AF67" s="93">
        <v>0</v>
      </c>
      <c r="AG67" s="93">
        <v>0</v>
      </c>
      <c r="AH67" s="93">
        <v>1.233765591187605E-2</v>
      </c>
      <c r="AI67" s="93">
        <v>2.8510446265474425E-2</v>
      </c>
      <c r="AJ67" s="93">
        <v>0</v>
      </c>
      <c r="AK67" s="93">
        <v>4.1398266851569575E-2</v>
      </c>
      <c r="AL67" s="93">
        <v>8.2246369028920047E-2</v>
      </c>
      <c r="AM67" s="93">
        <v>6.3681219898887836E-2</v>
      </c>
      <c r="AN67" s="93">
        <v>8.1274609004430391E-3</v>
      </c>
      <c r="AO67" s="93">
        <v>0</v>
      </c>
      <c r="AP67" s="93">
        <v>0</v>
      </c>
      <c r="AQ67" s="93">
        <v>7.1808680799330879E-2</v>
      </c>
      <c r="AR67" s="93">
        <v>1.233765591187605E-2</v>
      </c>
      <c r="AS67" s="251">
        <v>5.8202855803596272</v>
      </c>
      <c r="AT67" s="93">
        <v>6.3681219898887836E-2</v>
      </c>
      <c r="AU67" s="93">
        <v>9.6204929424426894E-3</v>
      </c>
      <c r="AV67" s="93">
        <v>0</v>
      </c>
      <c r="AW67" s="93">
        <v>0</v>
      </c>
      <c r="AX67" s="93">
        <v>7.3301712841330524E-2</v>
      </c>
      <c r="AY67" s="93">
        <v>2.8510446265474425E-2</v>
      </c>
      <c r="AZ67" s="251">
        <v>2.5710475437242599</v>
      </c>
      <c r="BA67" s="93">
        <v>6.3681219898887836E-2</v>
      </c>
      <c r="BB67" s="93">
        <v>1.774795384288573E-2</v>
      </c>
      <c r="BC67" s="93">
        <v>0</v>
      </c>
      <c r="BD67" s="93">
        <v>0</v>
      </c>
      <c r="BE67" s="93">
        <v>8.1429173741773567E-2</v>
      </c>
      <c r="BF67" s="93">
        <v>4.0848102177350479E-2</v>
      </c>
      <c r="BG67" s="93">
        <v>13.8918341138671</v>
      </c>
      <c r="BH67" s="251">
        <v>1.9934628391848408</v>
      </c>
      <c r="BI67" s="93">
        <v>7.4195484288748457</v>
      </c>
      <c r="BJ67" s="93">
        <v>17.145447912184135</v>
      </c>
      <c r="BK67" s="93">
        <v>0</v>
      </c>
      <c r="BL67" s="93">
        <v>24.895851203066886</v>
      </c>
      <c r="BM67" s="93">
        <v>49.460847544125862</v>
      </c>
      <c r="BN67" s="93">
        <v>6.3681219898887836E-2</v>
      </c>
      <c r="BO67" s="93">
        <v>0</v>
      </c>
      <c r="BP67" s="93">
        <v>1.774795384288573E-2</v>
      </c>
      <c r="BQ67" s="93">
        <v>0</v>
      </c>
      <c r="BR67" s="93">
        <v>0</v>
      </c>
      <c r="BS67" s="93">
        <v>0</v>
      </c>
      <c r="BT67" s="93">
        <v>0</v>
      </c>
      <c r="BU67" s="93">
        <v>0</v>
      </c>
      <c r="BV67" s="93">
        <v>0</v>
      </c>
      <c r="BW67" s="93">
        <v>0</v>
      </c>
      <c r="BX67" s="93">
        <v>8.2246369028920047E-2</v>
      </c>
      <c r="BY67" s="93"/>
      <c r="BZ67" s="93">
        <v>0</v>
      </c>
      <c r="CA67" s="93">
        <v>0</v>
      </c>
      <c r="CB67" s="93">
        <v>8.1429173741773567E-2</v>
      </c>
      <c r="CC67" s="93">
        <v>8.2246369028920047E-2</v>
      </c>
      <c r="CD67" s="252">
        <v>0.99006405636145312</v>
      </c>
      <c r="CE67" s="93">
        <v>38.787685316933981</v>
      </c>
      <c r="CF67" s="93">
        <v>1.1623930629866433E-3</v>
      </c>
      <c r="CG67" s="93">
        <v>0</v>
      </c>
      <c r="CH67" s="93">
        <v>1.1623930629866433E-3</v>
      </c>
      <c r="CI67" s="93">
        <v>5.8119103161617287E-5</v>
      </c>
      <c r="CJ67" s="93">
        <v>0</v>
      </c>
      <c r="CK67" s="93">
        <v>5.8119103161617287E-5</v>
      </c>
      <c r="CL67" s="93"/>
      <c r="CM67" s="93">
        <v>0</v>
      </c>
      <c r="CN67" s="93"/>
      <c r="CO67" s="93">
        <v>0</v>
      </c>
      <c r="CP67" s="93">
        <v>0</v>
      </c>
      <c r="CQ67" s="93">
        <v>0</v>
      </c>
      <c r="CR67" s="93">
        <v>0</v>
      </c>
      <c r="CS67" s="93">
        <v>0</v>
      </c>
      <c r="CT67" s="93">
        <v>0</v>
      </c>
      <c r="CU67" s="93">
        <v>0</v>
      </c>
      <c r="CV67" s="93">
        <v>9999</v>
      </c>
      <c r="CW67" s="251">
        <v>9999</v>
      </c>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row>
    <row r="68" spans="1:131">
      <c r="A68" s="71" t="s">
        <v>500</v>
      </c>
      <c r="B68" s="71" t="s">
        <v>500</v>
      </c>
      <c r="C68" s="93">
        <v>15</v>
      </c>
      <c r="D68" s="93">
        <v>0.11384121765439638</v>
      </c>
      <c r="E68" s="93">
        <v>0</v>
      </c>
      <c r="F68" s="93">
        <v>6.186975639218098E-2</v>
      </c>
      <c r="G68" s="93">
        <v>0</v>
      </c>
      <c r="H68" s="93">
        <v>0</v>
      </c>
      <c r="I68" s="93" t="s">
        <v>782</v>
      </c>
      <c r="J68" s="93"/>
      <c r="K68" s="93"/>
      <c r="L68" s="93">
        <v>0.122195039062654</v>
      </c>
      <c r="M68" s="93">
        <v>1.4817660497524398E-5</v>
      </c>
      <c r="N68" s="93">
        <v>1.471071326893796E-5</v>
      </c>
      <c r="O68" s="93">
        <v>0</v>
      </c>
      <c r="P68" s="93">
        <v>0</v>
      </c>
      <c r="Q68" s="93">
        <v>0</v>
      </c>
      <c r="R68" s="93">
        <v>1.233765591187605E-2</v>
      </c>
      <c r="S68" s="93">
        <v>2.8510446265474425E-2</v>
      </c>
      <c r="T68" s="93">
        <v>0</v>
      </c>
      <c r="U68" s="93">
        <v>4.1398266851569575E-2</v>
      </c>
      <c r="V68" s="93" t="s">
        <v>676</v>
      </c>
      <c r="W68" s="93" t="s">
        <v>676</v>
      </c>
      <c r="X68" s="93" t="s">
        <v>676</v>
      </c>
      <c r="Y68" s="93" t="s">
        <v>676</v>
      </c>
      <c r="Z68" s="93">
        <v>0</v>
      </c>
      <c r="AA68" s="93">
        <v>0</v>
      </c>
      <c r="AB68" s="93">
        <v>0</v>
      </c>
      <c r="AC68" s="93">
        <v>0</v>
      </c>
      <c r="AD68" s="93">
        <v>0</v>
      </c>
      <c r="AE68" s="93">
        <v>0</v>
      </c>
      <c r="AF68" s="93">
        <v>0</v>
      </c>
      <c r="AG68" s="93">
        <v>0</v>
      </c>
      <c r="AH68" s="93">
        <v>1.233765591187605E-2</v>
      </c>
      <c r="AI68" s="93">
        <v>2.8510446265474425E-2</v>
      </c>
      <c r="AJ68" s="93">
        <v>0</v>
      </c>
      <c r="AK68" s="93">
        <v>4.1398266851569575E-2</v>
      </c>
      <c r="AL68" s="93">
        <v>8.2246369028920047E-2</v>
      </c>
      <c r="AM68" s="93">
        <v>6.1611653896753896E-2</v>
      </c>
      <c r="AN68" s="93">
        <v>5.2357978875876123E-3</v>
      </c>
      <c r="AO68" s="93">
        <v>0</v>
      </c>
      <c r="AP68" s="93">
        <v>0</v>
      </c>
      <c r="AQ68" s="93">
        <v>6.6847451784341511E-2</v>
      </c>
      <c r="AR68" s="93">
        <v>1.233765591187605E-2</v>
      </c>
      <c r="AS68" s="251">
        <v>5.4181647033935443</v>
      </c>
      <c r="AT68" s="93">
        <v>6.1611653896753896E-2</v>
      </c>
      <c r="AU68" s="93">
        <v>6.1976252168555093E-3</v>
      </c>
      <c r="AV68" s="93">
        <v>0</v>
      </c>
      <c r="AW68" s="93">
        <v>0</v>
      </c>
      <c r="AX68" s="93">
        <v>6.78092791136094E-2</v>
      </c>
      <c r="AY68" s="93">
        <v>2.8510446265474425E-2</v>
      </c>
      <c r="AZ68" s="251">
        <v>2.378401182577246</v>
      </c>
      <c r="BA68" s="93">
        <v>6.1611653896753896E-2</v>
      </c>
      <c r="BB68" s="93">
        <v>1.1433423104443122E-2</v>
      </c>
      <c r="BC68" s="93">
        <v>0</v>
      </c>
      <c r="BD68" s="93">
        <v>0</v>
      </c>
      <c r="BE68" s="93">
        <v>7.3045077001197015E-2</v>
      </c>
      <c r="BF68" s="93">
        <v>4.0848102177350479E-2</v>
      </c>
      <c r="BG68" s="93">
        <v>17.712532261065462</v>
      </c>
      <c r="BH68" s="251">
        <v>1.7882122573052897</v>
      </c>
      <c r="BI68" s="93">
        <v>7.4293222041749045</v>
      </c>
      <c r="BJ68" s="93">
        <v>17.16803362031974</v>
      </c>
      <c r="BK68" s="93">
        <v>0</v>
      </c>
      <c r="BL68" s="93">
        <v>24.928646521797539</v>
      </c>
      <c r="BM68" s="93">
        <v>49.526002346292181</v>
      </c>
      <c r="BN68" s="93">
        <v>6.1611653896753896E-2</v>
      </c>
      <c r="BO68" s="93">
        <v>0</v>
      </c>
      <c r="BP68" s="93">
        <v>1.1433423104443122E-2</v>
      </c>
      <c r="BQ68" s="93">
        <v>0</v>
      </c>
      <c r="BR68" s="93">
        <v>0</v>
      </c>
      <c r="BS68" s="93">
        <v>0</v>
      </c>
      <c r="BT68" s="93">
        <v>0</v>
      </c>
      <c r="BU68" s="93">
        <v>0</v>
      </c>
      <c r="BV68" s="93">
        <v>0</v>
      </c>
      <c r="BW68" s="93">
        <v>0</v>
      </c>
      <c r="BX68" s="93">
        <v>8.2246369028920047E-2</v>
      </c>
      <c r="BY68" s="93"/>
      <c r="BZ68" s="93">
        <v>0</v>
      </c>
      <c r="CA68" s="93">
        <v>0</v>
      </c>
      <c r="CB68" s="93">
        <v>7.3045077001197015E-2</v>
      </c>
      <c r="CC68" s="93">
        <v>8.2246369028920047E-2</v>
      </c>
      <c r="CD68" s="252">
        <v>0.88812524934094528</v>
      </c>
      <c r="CE68" s="93">
        <v>42.641178782862994</v>
      </c>
      <c r="CF68" s="93">
        <v>1.1608639707974633E-3</v>
      </c>
      <c r="CG68" s="93">
        <v>0</v>
      </c>
      <c r="CH68" s="93">
        <v>1.1608639707974633E-3</v>
      </c>
      <c r="CI68" s="93">
        <v>5.8042643554760641E-5</v>
      </c>
      <c r="CJ68" s="93">
        <v>0</v>
      </c>
      <c r="CK68" s="93">
        <v>5.8042643554760641E-5</v>
      </c>
      <c r="CL68" s="93"/>
      <c r="CM68" s="93">
        <v>0</v>
      </c>
      <c r="CN68" s="93"/>
      <c r="CO68" s="93">
        <v>0</v>
      </c>
      <c r="CP68" s="93">
        <v>0</v>
      </c>
      <c r="CQ68" s="93">
        <v>0</v>
      </c>
      <c r="CR68" s="93">
        <v>0</v>
      </c>
      <c r="CS68" s="93">
        <v>0</v>
      </c>
      <c r="CT68" s="93">
        <v>0</v>
      </c>
      <c r="CU68" s="93">
        <v>0</v>
      </c>
      <c r="CV68" s="93">
        <v>9999</v>
      </c>
      <c r="CW68" s="251">
        <v>9999</v>
      </c>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row>
    <row r="69" spans="1:131">
      <c r="A69" s="71" t="s">
        <v>501</v>
      </c>
      <c r="B69" s="71" t="s">
        <v>501</v>
      </c>
      <c r="C69" s="93">
        <v>15</v>
      </c>
      <c r="D69" s="93">
        <v>0.70584176954140854</v>
      </c>
      <c r="E69" s="93">
        <v>0</v>
      </c>
      <c r="F69" s="93">
        <v>0.21500550974150753</v>
      </c>
      <c r="G69" s="93">
        <v>0</v>
      </c>
      <c r="H69" s="93">
        <v>0</v>
      </c>
      <c r="I69" s="93" t="s">
        <v>782</v>
      </c>
      <c r="J69" s="93"/>
      <c r="K69" s="93"/>
      <c r="L69" s="93">
        <v>0.75763738633758693</v>
      </c>
      <c r="M69" s="93">
        <v>9.1872907910982293E-5</v>
      </c>
      <c r="N69" s="93">
        <v>9.1209810461496377E-5</v>
      </c>
      <c r="O69" s="93">
        <v>0</v>
      </c>
      <c r="P69" s="93">
        <v>0</v>
      </c>
      <c r="Q69" s="93">
        <v>0</v>
      </c>
      <c r="R69" s="93">
        <v>4.2874970794025524E-2</v>
      </c>
      <c r="S69" s="93">
        <v>9.9077536258747545E-2</v>
      </c>
      <c r="T69" s="93">
        <v>0</v>
      </c>
      <c r="U69" s="93">
        <v>0.14386440137917772</v>
      </c>
      <c r="V69" s="93" t="s">
        <v>676</v>
      </c>
      <c r="W69" s="93" t="s">
        <v>676</v>
      </c>
      <c r="X69" s="93" t="s">
        <v>676</v>
      </c>
      <c r="Y69" s="93" t="s">
        <v>676</v>
      </c>
      <c r="Z69" s="93">
        <v>0</v>
      </c>
      <c r="AA69" s="93">
        <v>0</v>
      </c>
      <c r="AB69" s="93">
        <v>0</v>
      </c>
      <c r="AC69" s="93">
        <v>0</v>
      </c>
      <c r="AD69" s="93">
        <v>0</v>
      </c>
      <c r="AE69" s="93">
        <v>0</v>
      </c>
      <c r="AF69" s="93">
        <v>0</v>
      </c>
      <c r="AG69" s="93">
        <v>0</v>
      </c>
      <c r="AH69" s="93">
        <v>4.2874970794025524E-2</v>
      </c>
      <c r="AI69" s="93">
        <v>9.9077536258747545E-2</v>
      </c>
      <c r="AJ69" s="93">
        <v>0</v>
      </c>
      <c r="AK69" s="93">
        <v>0.14386440137917772</v>
      </c>
      <c r="AL69" s="93">
        <v>0.28581690843195079</v>
      </c>
      <c r="AM69" s="93">
        <v>0.38200644465065714</v>
      </c>
      <c r="AN69" s="93">
        <v>3.2463152820056733E-2</v>
      </c>
      <c r="AO69" s="93">
        <v>0</v>
      </c>
      <c r="AP69" s="93">
        <v>0</v>
      </c>
      <c r="AQ69" s="93">
        <v>0.41446959747071388</v>
      </c>
      <c r="AR69" s="93">
        <v>4.2874970794025524E-2</v>
      </c>
      <c r="AS69" s="251">
        <v>9.6669359720816121</v>
      </c>
      <c r="AT69" s="93">
        <v>0.38200644465065714</v>
      </c>
      <c r="AU69" s="93">
        <v>3.8426703791065886E-2</v>
      </c>
      <c r="AV69" s="93">
        <v>0</v>
      </c>
      <c r="AW69" s="93">
        <v>0</v>
      </c>
      <c r="AX69" s="93">
        <v>0.42043314844172303</v>
      </c>
      <c r="AY69" s="93">
        <v>9.9077536258747545E-2</v>
      </c>
      <c r="AZ69" s="251">
        <v>4.2434760119966448</v>
      </c>
      <c r="BA69" s="93">
        <v>0.38200644465065714</v>
      </c>
      <c r="BB69" s="93">
        <v>7.0889856611122626E-2</v>
      </c>
      <c r="BC69" s="93">
        <v>0</v>
      </c>
      <c r="BD69" s="93">
        <v>0</v>
      </c>
      <c r="BE69" s="93">
        <v>0.45289630126177977</v>
      </c>
      <c r="BF69" s="93">
        <v>0.14195250705277307</v>
      </c>
      <c r="BG69" s="93">
        <v>6.9016053019303589</v>
      </c>
      <c r="BH69" s="251">
        <v>3.1904776510457014</v>
      </c>
      <c r="BI69" s="93">
        <v>4.1640175804464876</v>
      </c>
      <c r="BJ69" s="93">
        <v>9.6224112849130616</v>
      </c>
      <c r="BK69" s="93">
        <v>0</v>
      </c>
      <c r="BL69" s="93">
        <v>13.972112060931876</v>
      </c>
      <c r="BM69" s="93">
        <v>27.758540926291424</v>
      </c>
      <c r="BN69" s="93">
        <v>0.38200644465065714</v>
      </c>
      <c r="BO69" s="93">
        <v>0</v>
      </c>
      <c r="BP69" s="93">
        <v>7.0889856611122626E-2</v>
      </c>
      <c r="BQ69" s="93">
        <v>0</v>
      </c>
      <c r="BR69" s="93">
        <v>0</v>
      </c>
      <c r="BS69" s="93">
        <v>0</v>
      </c>
      <c r="BT69" s="93">
        <v>0</v>
      </c>
      <c r="BU69" s="93">
        <v>0</v>
      </c>
      <c r="BV69" s="93">
        <v>0</v>
      </c>
      <c r="BW69" s="93">
        <v>0</v>
      </c>
      <c r="BX69" s="93">
        <v>0.28581690843195079</v>
      </c>
      <c r="BY69" s="93"/>
      <c r="BZ69" s="93">
        <v>0</v>
      </c>
      <c r="CA69" s="93">
        <v>0</v>
      </c>
      <c r="CB69" s="93">
        <v>0.45289630126177977</v>
      </c>
      <c r="CC69" s="93">
        <v>0.28581690843195079</v>
      </c>
      <c r="CD69" s="251">
        <v>1.5845679100878258</v>
      </c>
      <c r="CE69" s="93">
        <v>20.873717362862234</v>
      </c>
      <c r="CF69" s="93">
        <v>7.1976239909175444E-3</v>
      </c>
      <c r="CG69" s="93">
        <v>0</v>
      </c>
      <c r="CH69" s="93">
        <v>7.1976239909175444E-3</v>
      </c>
      <c r="CI69" s="93">
        <v>3.5987775851035379E-4</v>
      </c>
      <c r="CJ69" s="93">
        <v>0</v>
      </c>
      <c r="CK69" s="93">
        <v>3.5987775851035379E-4</v>
      </c>
      <c r="CL69" s="93"/>
      <c r="CM69" s="93">
        <v>0</v>
      </c>
      <c r="CN69" s="93"/>
      <c r="CO69" s="93">
        <v>0</v>
      </c>
      <c r="CP69" s="93">
        <v>0</v>
      </c>
      <c r="CQ69" s="93">
        <v>0</v>
      </c>
      <c r="CR69" s="93">
        <v>0</v>
      </c>
      <c r="CS69" s="93">
        <v>0</v>
      </c>
      <c r="CT69" s="93">
        <v>0</v>
      </c>
      <c r="CU69" s="93">
        <v>0</v>
      </c>
      <c r="CV69" s="93">
        <v>9999</v>
      </c>
      <c r="CW69" s="251">
        <v>9999</v>
      </c>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row>
    <row r="70" spans="1:131">
      <c r="A70" s="71" t="s">
        <v>494</v>
      </c>
      <c r="B70" s="71" t="s">
        <v>494</v>
      </c>
      <c r="C70" s="93">
        <v>15</v>
      </c>
      <c r="D70" s="93">
        <v>0.70549381285231594</v>
      </c>
      <c r="E70" s="93">
        <v>0</v>
      </c>
      <c r="F70" s="93">
        <v>0.1798317315436718</v>
      </c>
      <c r="G70" s="93">
        <v>0</v>
      </c>
      <c r="H70" s="93">
        <v>0</v>
      </c>
      <c r="I70" s="93" t="s">
        <v>752</v>
      </c>
      <c r="J70" s="93"/>
      <c r="K70" s="93"/>
      <c r="L70" s="93">
        <v>0.75826144027384157</v>
      </c>
      <c r="M70" s="93">
        <v>1.4254281537464511E-4</v>
      </c>
      <c r="N70" s="93">
        <v>1.4151400525568106E-4</v>
      </c>
      <c r="O70" s="93">
        <v>0</v>
      </c>
      <c r="P70" s="93">
        <v>0</v>
      </c>
      <c r="Q70" s="93">
        <v>0</v>
      </c>
      <c r="R70" s="93">
        <v>3.5860849552384617E-2</v>
      </c>
      <c r="S70" s="93">
        <v>8.2868968911133961E-2</v>
      </c>
      <c r="T70" s="93">
        <v>0</v>
      </c>
      <c r="U70" s="93">
        <v>0.12032893686592244</v>
      </c>
      <c r="V70" s="93" t="s">
        <v>676</v>
      </c>
      <c r="W70" s="93" t="s">
        <v>676</v>
      </c>
      <c r="X70" s="93" t="s">
        <v>676</v>
      </c>
      <c r="Y70" s="93" t="s">
        <v>676</v>
      </c>
      <c r="Z70" s="93">
        <v>0</v>
      </c>
      <c r="AA70" s="93">
        <v>0</v>
      </c>
      <c r="AB70" s="93">
        <v>0</v>
      </c>
      <c r="AC70" s="93">
        <v>0</v>
      </c>
      <c r="AD70" s="93">
        <v>0</v>
      </c>
      <c r="AE70" s="93">
        <v>0</v>
      </c>
      <c r="AF70" s="93">
        <v>0</v>
      </c>
      <c r="AG70" s="93">
        <v>0</v>
      </c>
      <c r="AH70" s="93">
        <v>3.5860849552384617E-2</v>
      </c>
      <c r="AI70" s="93">
        <v>8.2868968911133961E-2</v>
      </c>
      <c r="AJ70" s="93">
        <v>0</v>
      </c>
      <c r="AK70" s="93">
        <v>0.12032893686592244</v>
      </c>
      <c r="AL70" s="93">
        <v>0.23905875532944101</v>
      </c>
      <c r="AM70" s="93">
        <v>0.39464358831739993</v>
      </c>
      <c r="AN70" s="93">
        <v>5.0367287855869511E-2</v>
      </c>
      <c r="AO70" s="93">
        <v>0</v>
      </c>
      <c r="AP70" s="93">
        <v>0</v>
      </c>
      <c r="AQ70" s="93">
        <v>0.44501087617326945</v>
      </c>
      <c r="AR70" s="93">
        <v>3.5860849552384617E-2</v>
      </c>
      <c r="AS70" s="251">
        <v>12.409379078518731</v>
      </c>
      <c r="AT70" s="93">
        <v>0.39464358831739993</v>
      </c>
      <c r="AU70" s="93">
        <v>5.961986692805351E-2</v>
      </c>
      <c r="AV70" s="93">
        <v>0</v>
      </c>
      <c r="AW70" s="93">
        <v>0</v>
      </c>
      <c r="AX70" s="93">
        <v>0.45426345524545342</v>
      </c>
      <c r="AY70" s="93">
        <v>8.2868968911133961E-2</v>
      </c>
      <c r="AZ70" s="251">
        <v>5.4817075826367656</v>
      </c>
      <c r="BA70" s="93">
        <v>0.39464358831739993</v>
      </c>
      <c r="BB70" s="93">
        <v>0.10998715478392301</v>
      </c>
      <c r="BC70" s="93">
        <v>0</v>
      </c>
      <c r="BD70" s="93">
        <v>0</v>
      </c>
      <c r="BE70" s="93">
        <v>0.50463074310132294</v>
      </c>
      <c r="BF70" s="93">
        <v>0.11872981846351857</v>
      </c>
      <c r="BG70" s="93">
        <v>0.84838877715692596</v>
      </c>
      <c r="BH70" s="251">
        <v>4.2502443752693679</v>
      </c>
      <c r="BI70" s="93">
        <v>3.4799396859520297</v>
      </c>
      <c r="BJ70" s="93">
        <v>8.0416113183967752</v>
      </c>
      <c r="BK70" s="93">
        <v>0</v>
      </c>
      <c r="BL70" s="93">
        <v>11.676729581000551</v>
      </c>
      <c r="BM70" s="93">
        <v>23.198280585349355</v>
      </c>
      <c r="BN70" s="93">
        <v>0.39464358831739993</v>
      </c>
      <c r="BO70" s="93">
        <v>0</v>
      </c>
      <c r="BP70" s="93">
        <v>0.10998715478392301</v>
      </c>
      <c r="BQ70" s="93">
        <v>0</v>
      </c>
      <c r="BR70" s="93">
        <v>0</v>
      </c>
      <c r="BS70" s="93">
        <v>0</v>
      </c>
      <c r="BT70" s="93">
        <v>0</v>
      </c>
      <c r="BU70" s="93">
        <v>0</v>
      </c>
      <c r="BV70" s="93">
        <v>0</v>
      </c>
      <c r="BW70" s="93">
        <v>0</v>
      </c>
      <c r="BX70" s="93">
        <v>0.23905875532944101</v>
      </c>
      <c r="BY70" s="93"/>
      <c r="BZ70" s="93">
        <v>0</v>
      </c>
      <c r="CA70" s="93">
        <v>0</v>
      </c>
      <c r="CB70" s="93">
        <v>0.50463074310132294</v>
      </c>
      <c r="CC70" s="93">
        <v>0.23905875532944101</v>
      </c>
      <c r="CD70" s="251">
        <v>2.1109067618372883</v>
      </c>
      <c r="CE70" s="93">
        <v>12.525118358157473</v>
      </c>
      <c r="CF70" s="93">
        <v>7.203551849990773E-3</v>
      </c>
      <c r="CG70" s="93">
        <v>0</v>
      </c>
      <c r="CH70" s="93">
        <v>7.203551849990773E-3</v>
      </c>
      <c r="CI70" s="93">
        <v>3.6017418413007468E-4</v>
      </c>
      <c r="CJ70" s="93">
        <v>0</v>
      </c>
      <c r="CK70" s="93">
        <v>3.6017418413007468E-4</v>
      </c>
      <c r="CL70" s="93"/>
      <c r="CM70" s="93">
        <v>0</v>
      </c>
      <c r="CN70" s="93"/>
      <c r="CO70" s="93">
        <v>0</v>
      </c>
      <c r="CP70" s="93">
        <v>0</v>
      </c>
      <c r="CQ70" s="93">
        <v>0</v>
      </c>
      <c r="CR70" s="93">
        <v>0</v>
      </c>
      <c r="CS70" s="93">
        <v>0</v>
      </c>
      <c r="CT70" s="93">
        <v>0</v>
      </c>
      <c r="CU70" s="93">
        <v>0</v>
      </c>
      <c r="CV70" s="93">
        <v>9999</v>
      </c>
      <c r="CW70" s="251">
        <v>9999</v>
      </c>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row>
    <row r="71" spans="1:131">
      <c r="A71" s="71" t="s">
        <v>498</v>
      </c>
      <c r="B71" s="71" t="s">
        <v>498</v>
      </c>
      <c r="C71" s="93">
        <v>15</v>
      </c>
      <c r="D71" s="93">
        <v>0.14122456218221954</v>
      </c>
      <c r="E71" s="93">
        <v>0</v>
      </c>
      <c r="F71" s="93">
        <v>6.6713799252344441E-2</v>
      </c>
      <c r="G71" s="93">
        <v>0</v>
      </c>
      <c r="H71" s="93">
        <v>0</v>
      </c>
      <c r="I71" s="93" t="s">
        <v>752</v>
      </c>
      <c r="J71" s="93"/>
      <c r="K71" s="93"/>
      <c r="L71" s="93">
        <v>0.15178749688730306</v>
      </c>
      <c r="M71" s="93">
        <v>2.8533980492496855E-5</v>
      </c>
      <c r="N71" s="93">
        <v>2.8328035017182317E-5</v>
      </c>
      <c r="O71" s="93">
        <v>0</v>
      </c>
      <c r="P71" s="93">
        <v>0</v>
      </c>
      <c r="Q71" s="93">
        <v>0</v>
      </c>
      <c r="R71" s="93">
        <v>1.3303622767349713E-2</v>
      </c>
      <c r="S71" s="93">
        <v>3.074264874574472E-2</v>
      </c>
      <c r="T71" s="93">
        <v>0</v>
      </c>
      <c r="U71" s="93">
        <v>4.4639510888386739E-2</v>
      </c>
      <c r="V71" s="93" t="s">
        <v>676</v>
      </c>
      <c r="W71" s="93" t="s">
        <v>676</v>
      </c>
      <c r="X71" s="93" t="s">
        <v>676</v>
      </c>
      <c r="Y71" s="93" t="s">
        <v>676</v>
      </c>
      <c r="Z71" s="93">
        <v>0</v>
      </c>
      <c r="AA71" s="93">
        <v>0</v>
      </c>
      <c r="AB71" s="93">
        <v>0</v>
      </c>
      <c r="AC71" s="93">
        <v>0</v>
      </c>
      <c r="AD71" s="93">
        <v>0</v>
      </c>
      <c r="AE71" s="93">
        <v>0</v>
      </c>
      <c r="AF71" s="93">
        <v>0</v>
      </c>
      <c r="AG71" s="93">
        <v>0</v>
      </c>
      <c r="AH71" s="93">
        <v>1.3303622767349713E-2</v>
      </c>
      <c r="AI71" s="93">
        <v>3.074264874574472E-2</v>
      </c>
      <c r="AJ71" s="93">
        <v>0</v>
      </c>
      <c r="AK71" s="93">
        <v>4.4639510888386739E-2</v>
      </c>
      <c r="AL71" s="93">
        <v>8.8685782401481172E-2</v>
      </c>
      <c r="AM71" s="93">
        <v>7.8999088245458191E-2</v>
      </c>
      <c r="AN71" s="93">
        <v>1.0082438777163322E-2</v>
      </c>
      <c r="AO71" s="93">
        <v>0</v>
      </c>
      <c r="AP71" s="93">
        <v>0</v>
      </c>
      <c r="AQ71" s="93">
        <v>8.9081527022621509E-2</v>
      </c>
      <c r="AR71" s="93">
        <v>1.3303622767349713E-2</v>
      </c>
      <c r="AS71" s="251">
        <v>6.6960352514842034</v>
      </c>
      <c r="AT71" s="93">
        <v>7.8999088245458191E-2</v>
      </c>
      <c r="AU71" s="93">
        <v>1.1934604458450578E-2</v>
      </c>
      <c r="AV71" s="93">
        <v>0</v>
      </c>
      <c r="AW71" s="93">
        <v>0</v>
      </c>
      <c r="AX71" s="93">
        <v>9.0933692703908775E-2</v>
      </c>
      <c r="AY71" s="93">
        <v>3.074264874574472E-2</v>
      </c>
      <c r="AZ71" s="251">
        <v>2.957900389649915</v>
      </c>
      <c r="BA71" s="93">
        <v>7.8999088245458191E-2</v>
      </c>
      <c r="BB71" s="93">
        <v>2.20170432356139E-2</v>
      </c>
      <c r="BC71" s="93">
        <v>0</v>
      </c>
      <c r="BD71" s="93">
        <v>0</v>
      </c>
      <c r="BE71" s="93">
        <v>0.10101613148107209</v>
      </c>
      <c r="BF71" s="93">
        <v>4.4046271513094433E-2</v>
      </c>
      <c r="BG71" s="93">
        <v>10.679069147898534</v>
      </c>
      <c r="BH71" s="251">
        <v>2.2934093627207743</v>
      </c>
      <c r="BI71" s="93">
        <v>6.4491731467196605</v>
      </c>
      <c r="BJ71" s="93">
        <v>14.903058228370758</v>
      </c>
      <c r="BK71" s="93">
        <v>0</v>
      </c>
      <c r="BL71" s="93">
        <v>21.639814954061222</v>
      </c>
      <c r="BM71" s="93">
        <v>42.992046329151641</v>
      </c>
      <c r="BN71" s="93">
        <v>7.8999088245458191E-2</v>
      </c>
      <c r="BO71" s="93">
        <v>0</v>
      </c>
      <c r="BP71" s="93">
        <v>2.20170432356139E-2</v>
      </c>
      <c r="BQ71" s="93">
        <v>0</v>
      </c>
      <c r="BR71" s="93">
        <v>0</v>
      </c>
      <c r="BS71" s="93">
        <v>0</v>
      </c>
      <c r="BT71" s="93">
        <v>0</v>
      </c>
      <c r="BU71" s="93">
        <v>0</v>
      </c>
      <c r="BV71" s="93">
        <v>0</v>
      </c>
      <c r="BW71" s="93">
        <v>0</v>
      </c>
      <c r="BX71" s="93">
        <v>8.8685782401481172E-2</v>
      </c>
      <c r="BY71" s="93"/>
      <c r="BZ71" s="93">
        <v>0</v>
      </c>
      <c r="CA71" s="93">
        <v>0</v>
      </c>
      <c r="CB71" s="93">
        <v>0.10101613148107208</v>
      </c>
      <c r="CC71" s="93">
        <v>8.8685782401481172E-2</v>
      </c>
      <c r="CD71" s="251">
        <v>1.1390341128611949</v>
      </c>
      <c r="CE71" s="93">
        <v>32.31888410195976</v>
      </c>
      <c r="CF71" s="93">
        <v>1.4419948660624529E-3</v>
      </c>
      <c r="CG71" s="93">
        <v>0</v>
      </c>
      <c r="CH71" s="93">
        <v>1.4419948660624529E-3</v>
      </c>
      <c r="CI71" s="93">
        <v>7.2099061021468954E-5</v>
      </c>
      <c r="CJ71" s="93">
        <v>0</v>
      </c>
      <c r="CK71" s="93">
        <v>7.2099061021468954E-5</v>
      </c>
      <c r="CL71" s="93"/>
      <c r="CM71" s="93">
        <v>0</v>
      </c>
      <c r="CN71" s="93"/>
      <c r="CO71" s="93">
        <v>0</v>
      </c>
      <c r="CP71" s="93">
        <v>0</v>
      </c>
      <c r="CQ71" s="93">
        <v>0</v>
      </c>
      <c r="CR71" s="93">
        <v>0</v>
      </c>
      <c r="CS71" s="93">
        <v>0</v>
      </c>
      <c r="CT71" s="93">
        <v>0</v>
      </c>
      <c r="CU71" s="93">
        <v>0</v>
      </c>
      <c r="CV71" s="93">
        <v>9999</v>
      </c>
      <c r="CW71" s="251">
        <v>9999</v>
      </c>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row>
    <row r="72" spans="1:131">
      <c r="A72" s="71"/>
      <c r="B72" s="71"/>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row>
    <row r="73" spans="1:131">
      <c r="A73" s="71"/>
      <c r="B73" s="71"/>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row>
    <row r="74" spans="1:131" ht="13.5" thickBot="1">
      <c r="A74" s="240" t="s">
        <v>677</v>
      </c>
      <c r="B74" s="241"/>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row>
    <row r="75" spans="1:131" ht="26.25" thickBot="1">
      <c r="A75" s="265" t="s">
        <v>582</v>
      </c>
      <c r="B75" s="266"/>
      <c r="C75" s="267" t="s">
        <v>583</v>
      </c>
      <c r="D75" s="268"/>
      <c r="E75" s="268"/>
      <c r="F75" s="268"/>
      <c r="G75" s="268"/>
      <c r="H75" s="268"/>
      <c r="I75" s="268"/>
      <c r="J75" s="268"/>
      <c r="K75" s="269"/>
      <c r="L75" s="267" t="s">
        <v>43</v>
      </c>
      <c r="M75" s="268"/>
      <c r="N75" s="268"/>
      <c r="O75" s="268"/>
      <c r="P75" s="268"/>
      <c r="Q75" s="269"/>
      <c r="R75" s="267" t="s">
        <v>584</v>
      </c>
      <c r="S75" s="268"/>
      <c r="T75" s="268"/>
      <c r="U75" s="269"/>
      <c r="V75" s="267" t="s">
        <v>585</v>
      </c>
      <c r="W75" s="268"/>
      <c r="X75" s="268"/>
      <c r="Y75" s="269"/>
      <c r="Z75" s="267" t="s">
        <v>586</v>
      </c>
      <c r="AA75" s="268"/>
      <c r="AB75" s="268"/>
      <c r="AC75" s="269"/>
      <c r="AD75" s="267" t="s">
        <v>587</v>
      </c>
      <c r="AE75" s="268"/>
      <c r="AF75" s="268"/>
      <c r="AG75" s="269"/>
      <c r="AH75" s="267" t="s">
        <v>588</v>
      </c>
      <c r="AI75" s="268"/>
      <c r="AJ75" s="268"/>
      <c r="AK75" s="268"/>
      <c r="AL75" s="269"/>
      <c r="AM75" s="267" t="s">
        <v>589</v>
      </c>
      <c r="AN75" s="268"/>
      <c r="AO75" s="268"/>
      <c r="AP75" s="268"/>
      <c r="AQ75" s="268"/>
      <c r="AR75" s="268"/>
      <c r="AS75" s="269"/>
      <c r="AT75" s="267" t="s">
        <v>590</v>
      </c>
      <c r="AU75" s="268"/>
      <c r="AV75" s="268"/>
      <c r="AW75" s="268"/>
      <c r="AX75" s="268"/>
      <c r="AY75" s="268"/>
      <c r="AZ75" s="269"/>
      <c r="BA75" s="267" t="s">
        <v>591</v>
      </c>
      <c r="BB75" s="268"/>
      <c r="BC75" s="268"/>
      <c r="BD75" s="268"/>
      <c r="BE75" s="268"/>
      <c r="BF75" s="269"/>
      <c r="BG75" s="267" t="s">
        <v>592</v>
      </c>
      <c r="BH75" s="269"/>
      <c r="BI75" s="267" t="s">
        <v>593</v>
      </c>
      <c r="BJ75" s="268"/>
      <c r="BK75" s="268"/>
      <c r="BL75" s="268"/>
      <c r="BM75" s="269"/>
      <c r="BN75" s="267" t="s">
        <v>594</v>
      </c>
      <c r="BO75" s="268"/>
      <c r="BP75" s="268"/>
      <c r="BQ75" s="268"/>
      <c r="BR75" s="268"/>
      <c r="BS75" s="268"/>
      <c r="BT75" s="268"/>
      <c r="BU75" s="268"/>
      <c r="BV75" s="268"/>
      <c r="BW75" s="268"/>
      <c r="BX75" s="268"/>
      <c r="BY75" s="268"/>
      <c r="BZ75" s="268"/>
      <c r="CA75" s="268"/>
      <c r="CB75" s="268"/>
      <c r="CC75" s="269"/>
      <c r="CD75" s="267" t="s">
        <v>595</v>
      </c>
      <c r="CE75" s="269"/>
      <c r="CF75" s="267" t="s">
        <v>596</v>
      </c>
      <c r="CG75" s="268"/>
      <c r="CH75" s="268"/>
      <c r="CI75" s="268"/>
      <c r="CJ75" s="268"/>
      <c r="CK75" s="269"/>
      <c r="CL75" s="270"/>
      <c r="CM75" s="267" t="s">
        <v>361</v>
      </c>
      <c r="CN75" s="268"/>
      <c r="CO75" s="268"/>
      <c r="CP75" s="269"/>
      <c r="CQ75" s="267" t="s">
        <v>597</v>
      </c>
      <c r="CR75" s="268"/>
      <c r="CS75" s="268"/>
      <c r="CT75" s="268"/>
      <c r="CU75" s="269"/>
      <c r="CV75" s="267" t="s">
        <v>598</v>
      </c>
      <c r="CW75" s="269"/>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row>
    <row r="76" spans="1:131" ht="216.75">
      <c r="A76" s="248" t="s">
        <v>464</v>
      </c>
      <c r="B76" s="249" t="s">
        <v>465</v>
      </c>
      <c r="C76" s="250" t="s">
        <v>73</v>
      </c>
      <c r="D76" s="250" t="s">
        <v>599</v>
      </c>
      <c r="E76" s="250" t="s">
        <v>600</v>
      </c>
      <c r="F76" s="250" t="s">
        <v>601</v>
      </c>
      <c r="G76" s="250" t="s">
        <v>602</v>
      </c>
      <c r="H76" s="250" t="s">
        <v>603</v>
      </c>
      <c r="I76" s="250" t="s">
        <v>604</v>
      </c>
      <c r="J76" s="250" t="s">
        <v>605</v>
      </c>
      <c r="K76" s="250" t="s">
        <v>606</v>
      </c>
      <c r="L76" s="250" t="s">
        <v>607</v>
      </c>
      <c r="M76" s="250" t="s">
        <v>608</v>
      </c>
      <c r="N76" s="250" t="s">
        <v>609</v>
      </c>
      <c r="O76" s="250" t="s">
        <v>610</v>
      </c>
      <c r="P76" s="250" t="s">
        <v>611</v>
      </c>
      <c r="Q76" s="250" t="s">
        <v>612</v>
      </c>
      <c r="R76" s="250" t="s">
        <v>613</v>
      </c>
      <c r="S76" s="250" t="s">
        <v>614</v>
      </c>
      <c r="T76" s="250" t="s">
        <v>615</v>
      </c>
      <c r="U76" s="250" t="s">
        <v>522</v>
      </c>
      <c r="V76" s="250" t="s">
        <v>613</v>
      </c>
      <c r="W76" s="250" t="s">
        <v>614</v>
      </c>
      <c r="X76" s="250" t="s">
        <v>615</v>
      </c>
      <c r="Y76" s="250" t="s">
        <v>522</v>
      </c>
      <c r="Z76" s="250" t="s">
        <v>613</v>
      </c>
      <c r="AA76" s="250" t="s">
        <v>614</v>
      </c>
      <c r="AB76" s="250" t="s">
        <v>615</v>
      </c>
      <c r="AC76" s="250" t="s">
        <v>522</v>
      </c>
      <c r="AD76" s="250" t="s">
        <v>613</v>
      </c>
      <c r="AE76" s="250" t="s">
        <v>614</v>
      </c>
      <c r="AF76" s="250" t="s">
        <v>615</v>
      </c>
      <c r="AG76" s="250" t="s">
        <v>522</v>
      </c>
      <c r="AH76" s="250" t="s">
        <v>613</v>
      </c>
      <c r="AI76" s="250" t="s">
        <v>614</v>
      </c>
      <c r="AJ76" s="250" t="s">
        <v>615</v>
      </c>
      <c r="AK76" s="250" t="s">
        <v>522</v>
      </c>
      <c r="AL76" s="250" t="s">
        <v>164</v>
      </c>
      <c r="AM76" s="250" t="s">
        <v>616</v>
      </c>
      <c r="AN76" s="250" t="s">
        <v>617</v>
      </c>
      <c r="AO76" s="250" t="s">
        <v>618</v>
      </c>
      <c r="AP76" s="250" t="s">
        <v>619</v>
      </c>
      <c r="AQ76" s="250" t="s">
        <v>620</v>
      </c>
      <c r="AR76" s="250" t="s">
        <v>621</v>
      </c>
      <c r="AS76" s="250" t="s">
        <v>622</v>
      </c>
      <c r="AT76" s="250" t="s">
        <v>623</v>
      </c>
      <c r="AU76" s="250" t="s">
        <v>624</v>
      </c>
      <c r="AV76" s="250" t="s">
        <v>625</v>
      </c>
      <c r="AW76" s="250" t="s">
        <v>626</v>
      </c>
      <c r="AX76" s="250" t="s">
        <v>627</v>
      </c>
      <c r="AY76" s="250" t="s">
        <v>628</v>
      </c>
      <c r="AZ76" s="250" t="s">
        <v>629</v>
      </c>
      <c r="BA76" s="250" t="s">
        <v>630</v>
      </c>
      <c r="BB76" s="250" t="s">
        <v>631</v>
      </c>
      <c r="BC76" s="250" t="s">
        <v>632</v>
      </c>
      <c r="BD76" s="250" t="s">
        <v>633</v>
      </c>
      <c r="BE76" s="250" t="s">
        <v>634</v>
      </c>
      <c r="BF76" s="250" t="s">
        <v>635</v>
      </c>
      <c r="BG76" s="250" t="s">
        <v>636</v>
      </c>
      <c r="BH76" s="250" t="s">
        <v>637</v>
      </c>
      <c r="BI76" s="250" t="s">
        <v>638</v>
      </c>
      <c r="BJ76" s="250" t="s">
        <v>639</v>
      </c>
      <c r="BK76" s="250" t="s">
        <v>640</v>
      </c>
      <c r="BL76" s="250" t="s">
        <v>641</v>
      </c>
      <c r="BM76" s="250" t="s">
        <v>642</v>
      </c>
      <c r="BN76" s="250" t="s">
        <v>643</v>
      </c>
      <c r="BO76" s="250" t="s">
        <v>644</v>
      </c>
      <c r="BP76" s="250" t="s">
        <v>645</v>
      </c>
      <c r="BQ76" s="250" t="s">
        <v>646</v>
      </c>
      <c r="BR76" s="250" t="s">
        <v>647</v>
      </c>
      <c r="BS76" s="250" t="s">
        <v>648</v>
      </c>
      <c r="BT76" s="250" t="s">
        <v>649</v>
      </c>
      <c r="BU76" s="250" t="s">
        <v>650</v>
      </c>
      <c r="BV76" s="250" t="s">
        <v>651</v>
      </c>
      <c r="BW76" s="250" t="s">
        <v>652</v>
      </c>
      <c r="BX76" s="250" t="s">
        <v>653</v>
      </c>
      <c r="BY76" s="250" t="s">
        <v>654</v>
      </c>
      <c r="BZ76" s="250" t="s">
        <v>655</v>
      </c>
      <c r="CA76" s="250" t="s">
        <v>656</v>
      </c>
      <c r="CB76" s="250" t="s">
        <v>657</v>
      </c>
      <c r="CC76" s="250" t="s">
        <v>658</v>
      </c>
      <c r="CD76" s="250" t="s">
        <v>475</v>
      </c>
      <c r="CE76" s="250" t="s">
        <v>474</v>
      </c>
      <c r="CF76" s="250" t="s">
        <v>659</v>
      </c>
      <c r="CG76" s="250" t="s">
        <v>660</v>
      </c>
      <c r="CH76" s="250" t="s">
        <v>661</v>
      </c>
      <c r="CI76" s="250" t="s">
        <v>662</v>
      </c>
      <c r="CJ76" s="250" t="s">
        <v>663</v>
      </c>
      <c r="CK76" s="250" t="s">
        <v>664</v>
      </c>
      <c r="CL76" s="250"/>
      <c r="CM76" s="250" t="s">
        <v>665</v>
      </c>
      <c r="CN76" s="250" t="s">
        <v>666</v>
      </c>
      <c r="CO76" s="250" t="s">
        <v>667</v>
      </c>
      <c r="CP76" s="250" t="s">
        <v>668</v>
      </c>
      <c r="CQ76" s="250" t="s">
        <v>669</v>
      </c>
      <c r="CR76" s="250" t="s">
        <v>670</v>
      </c>
      <c r="CS76" s="250" t="s">
        <v>671</v>
      </c>
      <c r="CT76" s="250" t="s">
        <v>672</v>
      </c>
      <c r="CU76" s="250" t="s">
        <v>673</v>
      </c>
      <c r="CV76" s="250" t="s">
        <v>674</v>
      </c>
      <c r="CW76" s="250" t="s">
        <v>675</v>
      </c>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row>
    <row r="77" spans="1:131">
      <c r="A77" s="71" t="s">
        <v>491</v>
      </c>
      <c r="B77" s="71"/>
      <c r="C77" s="93">
        <v>15</v>
      </c>
      <c r="D77" s="93">
        <v>1.1497311538054293</v>
      </c>
      <c r="E77" s="93">
        <v>0</v>
      </c>
      <c r="F77" s="93">
        <v>0.18359410174555876</v>
      </c>
      <c r="G77" s="93">
        <v>0</v>
      </c>
      <c r="H77" s="93">
        <v>0</v>
      </c>
      <c r="I77" s="93"/>
      <c r="J77" s="93"/>
      <c r="K77" s="93"/>
      <c r="L77" s="93">
        <v>1.2357256502187177</v>
      </c>
      <c r="M77" s="93">
        <v>2.3229957882234747E-4</v>
      </c>
      <c r="N77" s="93">
        <v>2.3062294463566205E-4</v>
      </c>
      <c r="O77" s="93">
        <v>0</v>
      </c>
      <c r="P77" s="93">
        <v>0</v>
      </c>
      <c r="Q77" s="93">
        <v>0</v>
      </c>
      <c r="R77" s="93">
        <v>3.6611116430271394E-2</v>
      </c>
      <c r="S77" s="93">
        <v>8.4602721550982349E-2</v>
      </c>
      <c r="T77" s="93">
        <v>0</v>
      </c>
      <c r="U77" s="93">
        <v>0.12284641252276526</v>
      </c>
      <c r="V77" s="93">
        <v>1.1015646104733526E-2</v>
      </c>
      <c r="W77" s="93">
        <v>2.5703174244378228E-2</v>
      </c>
      <c r="X77" s="93">
        <v>0</v>
      </c>
      <c r="Y77" s="93">
        <v>0</v>
      </c>
      <c r="Z77" s="93">
        <v>0</v>
      </c>
      <c r="AA77" s="93">
        <v>0</v>
      </c>
      <c r="AB77" s="93">
        <v>0</v>
      </c>
      <c r="AC77" s="93">
        <v>0</v>
      </c>
      <c r="AD77" s="93">
        <v>0</v>
      </c>
      <c r="AE77" s="93">
        <v>0</v>
      </c>
      <c r="AF77" s="93">
        <v>0</v>
      </c>
      <c r="AG77" s="93">
        <v>0</v>
      </c>
      <c r="AH77" s="93">
        <v>4.7626762535004918E-2</v>
      </c>
      <c r="AI77" s="93">
        <v>0.11030589579536057</v>
      </c>
      <c r="AJ77" s="93">
        <v>0</v>
      </c>
      <c r="AK77" s="93">
        <v>0.12284641252276526</v>
      </c>
      <c r="AL77" s="93">
        <v>0.28077907085313075</v>
      </c>
      <c r="AM77" s="93">
        <v>0.64314388003436906</v>
      </c>
      <c r="AN77" s="93">
        <v>8.2082704235850401E-2</v>
      </c>
      <c r="AO77" s="93">
        <v>0</v>
      </c>
      <c r="AP77" s="93">
        <v>0</v>
      </c>
      <c r="AQ77" s="93">
        <v>0.72522658427021947</v>
      </c>
      <c r="AR77" s="93">
        <v>4.7626762535004918E-2</v>
      </c>
      <c r="AS77" s="251">
        <v>15.227291246957829</v>
      </c>
      <c r="AT77" s="93">
        <v>0.64314388003436906</v>
      </c>
      <c r="AU77" s="93">
        <v>9.716147348731792E-2</v>
      </c>
      <c r="AV77" s="93">
        <v>0</v>
      </c>
      <c r="AW77" s="93">
        <v>0</v>
      </c>
      <c r="AX77" s="93">
        <v>0.74030535352168703</v>
      </c>
      <c r="AY77" s="93">
        <v>0.11030589579536057</v>
      </c>
      <c r="AZ77" s="251">
        <v>6.711385172875084</v>
      </c>
      <c r="BA77" s="93">
        <v>0.64314388003436906</v>
      </c>
      <c r="BB77" s="93">
        <v>0.17924417772316831</v>
      </c>
      <c r="BC77" s="93">
        <v>0</v>
      </c>
      <c r="BD77" s="93">
        <v>0</v>
      </c>
      <c r="BE77" s="93">
        <v>0.82238805775753743</v>
      </c>
      <c r="BF77" s="93">
        <v>0.15793265833036549</v>
      </c>
      <c r="BG77" s="93">
        <v>-1.2690024673416769</v>
      </c>
      <c r="BH77" s="251">
        <v>5.2072070871957079</v>
      </c>
      <c r="BI77" s="93">
        <v>2.8359535542467316</v>
      </c>
      <c r="BJ77" s="93">
        <v>6.5682062056034747</v>
      </c>
      <c r="BK77" s="93">
        <v>0</v>
      </c>
      <c r="BL77" s="93">
        <v>7.3149360081810642</v>
      </c>
      <c r="BM77" s="93">
        <v>16.71909576803127</v>
      </c>
      <c r="BN77" s="93">
        <v>0.64314388003436906</v>
      </c>
      <c r="BO77" s="93">
        <v>0</v>
      </c>
      <c r="BP77" s="93">
        <v>0.17924417772316831</v>
      </c>
      <c r="BQ77" s="93">
        <v>0</v>
      </c>
      <c r="BR77" s="93">
        <v>0</v>
      </c>
      <c r="BS77" s="93">
        <v>0</v>
      </c>
      <c r="BT77" s="93">
        <v>0</v>
      </c>
      <c r="BU77" s="93">
        <v>0</v>
      </c>
      <c r="BV77" s="93">
        <v>0</v>
      </c>
      <c r="BW77" s="93">
        <v>0</v>
      </c>
      <c r="BX77" s="93">
        <v>0.244060250504019</v>
      </c>
      <c r="BY77" s="93">
        <v>3.6718820349111753E-2</v>
      </c>
      <c r="BZ77" s="93">
        <v>0</v>
      </c>
      <c r="CA77" s="93">
        <v>0</v>
      </c>
      <c r="CB77" s="93">
        <v>0.82238805775753743</v>
      </c>
      <c r="CC77" s="93">
        <v>0.28077907085313075</v>
      </c>
      <c r="CD77" s="251">
        <v>2.9289507058298878</v>
      </c>
      <c r="CE77" s="93">
        <v>6.0459335408393819</v>
      </c>
      <c r="CF77" s="93">
        <v>1.1739504768301726E-2</v>
      </c>
      <c r="CG77" s="93">
        <v>0</v>
      </c>
      <c r="CH77" s="93">
        <v>1.1739504768301726E-2</v>
      </c>
      <c r="CI77" s="93">
        <v>5.8696968385389084E-4</v>
      </c>
      <c r="CJ77" s="93">
        <v>0</v>
      </c>
      <c r="CK77" s="93">
        <v>5.8696968385389084E-4</v>
      </c>
      <c r="CL77" s="93"/>
      <c r="CM77" s="93">
        <v>0</v>
      </c>
      <c r="CN77" s="93"/>
      <c r="CO77" s="93">
        <v>0</v>
      </c>
      <c r="CP77" s="93">
        <v>0</v>
      </c>
      <c r="CQ77" s="93">
        <v>0</v>
      </c>
      <c r="CR77" s="93">
        <v>0</v>
      </c>
      <c r="CS77" s="93">
        <v>0</v>
      </c>
      <c r="CT77" s="93">
        <v>0</v>
      </c>
      <c r="CU77" s="93">
        <v>0</v>
      </c>
      <c r="CV77" s="93">
        <v>9999</v>
      </c>
      <c r="CW77" s="251">
        <v>9999</v>
      </c>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row>
    <row r="78" spans="1:131">
      <c r="A78" s="71" t="s">
        <v>490</v>
      </c>
      <c r="B78" s="71"/>
      <c r="C78" s="93">
        <v>15</v>
      </c>
      <c r="D78" s="93">
        <v>0.93646687385369998</v>
      </c>
      <c r="E78" s="93">
        <v>0</v>
      </c>
      <c r="F78" s="93">
        <v>0.1811789556978993</v>
      </c>
      <c r="G78" s="93">
        <v>0</v>
      </c>
      <c r="H78" s="93">
        <v>0</v>
      </c>
      <c r="I78" s="93"/>
      <c r="J78" s="93"/>
      <c r="K78" s="93"/>
      <c r="L78" s="93">
        <v>1.0065102026425481</v>
      </c>
      <c r="M78" s="93">
        <v>1.8921019897327204E-4</v>
      </c>
      <c r="N78" s="93">
        <v>1.8784456460718156E-4</v>
      </c>
      <c r="O78" s="93">
        <v>0</v>
      </c>
      <c r="P78" s="93">
        <v>0</v>
      </c>
      <c r="Q78" s="93">
        <v>0</v>
      </c>
      <c r="R78" s="93">
        <v>3.6129504045634371E-2</v>
      </c>
      <c r="S78" s="93">
        <v>8.3489788582916377E-2</v>
      </c>
      <c r="T78" s="93">
        <v>0</v>
      </c>
      <c r="U78" s="93">
        <v>0.12123039095751539</v>
      </c>
      <c r="V78" s="93">
        <v>1.0870737341873958E-2</v>
      </c>
      <c r="W78" s="93">
        <v>2.53650537977059E-2</v>
      </c>
      <c r="X78" s="93">
        <v>0</v>
      </c>
      <c r="Y78" s="93">
        <v>0</v>
      </c>
      <c r="Z78" s="93">
        <v>0</v>
      </c>
      <c r="AA78" s="93">
        <v>0</v>
      </c>
      <c r="AB78" s="93">
        <v>0</v>
      </c>
      <c r="AC78" s="93">
        <v>0</v>
      </c>
      <c r="AD78" s="93">
        <v>0</v>
      </c>
      <c r="AE78" s="93">
        <v>0</v>
      </c>
      <c r="AF78" s="93">
        <v>0</v>
      </c>
      <c r="AG78" s="93">
        <v>0</v>
      </c>
      <c r="AH78" s="93">
        <v>4.7000241387508329E-2</v>
      </c>
      <c r="AI78" s="93">
        <v>0.10885484238062228</v>
      </c>
      <c r="AJ78" s="93">
        <v>0</v>
      </c>
      <c r="AK78" s="93">
        <v>0.12123039095751539</v>
      </c>
      <c r="AL78" s="93">
        <v>0.27708547472564599</v>
      </c>
      <c r="AM78" s="93">
        <v>0.52384675911447853</v>
      </c>
      <c r="AN78" s="93">
        <v>6.6857137147918952E-2</v>
      </c>
      <c r="AO78" s="93">
        <v>0</v>
      </c>
      <c r="AP78" s="93">
        <v>0</v>
      </c>
      <c r="AQ78" s="93">
        <v>0.5907038962623975</v>
      </c>
      <c r="AR78" s="93">
        <v>4.7000241387508329E-2</v>
      </c>
      <c r="AS78" s="251">
        <v>12.568103457004671</v>
      </c>
      <c r="AT78" s="93">
        <v>0.52384675911447853</v>
      </c>
      <c r="AU78" s="93">
        <v>7.9138936989338882E-2</v>
      </c>
      <c r="AV78" s="93">
        <v>0</v>
      </c>
      <c r="AW78" s="93">
        <v>0</v>
      </c>
      <c r="AX78" s="93">
        <v>0.60298569610381736</v>
      </c>
      <c r="AY78" s="93">
        <v>0.10885484238062228</v>
      </c>
      <c r="AZ78" s="251">
        <v>5.539355741248654</v>
      </c>
      <c r="BA78" s="93">
        <v>0.52384675911447853</v>
      </c>
      <c r="BB78" s="93">
        <v>0.14599607413725785</v>
      </c>
      <c r="BC78" s="93">
        <v>0</v>
      </c>
      <c r="BD78" s="93">
        <v>0</v>
      </c>
      <c r="BE78" s="93">
        <v>0.66984283325173632</v>
      </c>
      <c r="BF78" s="93">
        <v>0.15585508376813062</v>
      </c>
      <c r="BG78" s="93">
        <v>0.72075095040448933</v>
      </c>
      <c r="BH78" s="251">
        <v>4.2978568106785513</v>
      </c>
      <c r="BI78" s="93">
        <v>3.435991029282321</v>
      </c>
      <c r="BJ78" s="93">
        <v>7.9579221483140481</v>
      </c>
      <c r="BK78" s="93">
        <v>0</v>
      </c>
      <c r="BL78" s="93">
        <v>8.8626467334936017</v>
      </c>
      <c r="BM78" s="93">
        <v>20.256559911089973</v>
      </c>
      <c r="BN78" s="93">
        <v>0.52384675911447853</v>
      </c>
      <c r="BO78" s="93">
        <v>0</v>
      </c>
      <c r="BP78" s="93">
        <v>0.14599607413725785</v>
      </c>
      <c r="BQ78" s="93">
        <v>0</v>
      </c>
      <c r="BR78" s="93">
        <v>0</v>
      </c>
      <c r="BS78" s="93">
        <v>0</v>
      </c>
      <c r="BT78" s="93">
        <v>0</v>
      </c>
      <c r="BU78" s="93">
        <v>0</v>
      </c>
      <c r="BV78" s="93">
        <v>0</v>
      </c>
      <c r="BW78" s="93">
        <v>0</v>
      </c>
      <c r="BX78" s="93">
        <v>0.24084968358606615</v>
      </c>
      <c r="BY78" s="93">
        <v>3.6235791139579858E-2</v>
      </c>
      <c r="BZ78" s="93">
        <v>0</v>
      </c>
      <c r="CA78" s="93">
        <v>0</v>
      </c>
      <c r="CB78" s="93">
        <v>0.66984283325173632</v>
      </c>
      <c r="CC78" s="93">
        <v>0.27708547472564599</v>
      </c>
      <c r="CD78" s="251">
        <v>2.4174592115121731</v>
      </c>
      <c r="CE78" s="93">
        <v>9.5833976838980899</v>
      </c>
      <c r="CF78" s="93">
        <v>9.5619374099543512E-3</v>
      </c>
      <c r="CG78" s="93">
        <v>0</v>
      </c>
      <c r="CH78" s="93">
        <v>9.5619374099543512E-3</v>
      </c>
      <c r="CI78" s="93">
        <v>4.7809234625521032E-4</v>
      </c>
      <c r="CJ78" s="93">
        <v>0</v>
      </c>
      <c r="CK78" s="93">
        <v>4.7809234625521032E-4</v>
      </c>
      <c r="CL78" s="93"/>
      <c r="CM78" s="93">
        <v>0</v>
      </c>
      <c r="CN78" s="93"/>
      <c r="CO78" s="93">
        <v>0</v>
      </c>
      <c r="CP78" s="93">
        <v>0</v>
      </c>
      <c r="CQ78" s="93">
        <v>0</v>
      </c>
      <c r="CR78" s="93">
        <v>0</v>
      </c>
      <c r="CS78" s="93">
        <v>0</v>
      </c>
      <c r="CT78" s="93">
        <v>0</v>
      </c>
      <c r="CU78" s="93">
        <v>0</v>
      </c>
      <c r="CV78" s="93">
        <v>9999</v>
      </c>
      <c r="CW78" s="251">
        <v>9999</v>
      </c>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row>
    <row r="79" spans="1:131">
      <c r="A79" s="71" t="s">
        <v>494</v>
      </c>
      <c r="B79" s="71"/>
      <c r="C79" s="93">
        <v>15</v>
      </c>
      <c r="D79" s="93">
        <v>0.70549381285231594</v>
      </c>
      <c r="E79" s="93">
        <v>0</v>
      </c>
      <c r="F79" s="93">
        <v>0.1798317315436718</v>
      </c>
      <c r="G79" s="93">
        <v>0</v>
      </c>
      <c r="H79" s="93">
        <v>0</v>
      </c>
      <c r="I79" s="93"/>
      <c r="J79" s="93"/>
      <c r="K79" s="93"/>
      <c r="L79" s="93">
        <v>0.75826144027384157</v>
      </c>
      <c r="M79" s="93">
        <v>1.4254281537464511E-4</v>
      </c>
      <c r="N79" s="93">
        <v>1.4151400525568106E-4</v>
      </c>
      <c r="O79" s="93">
        <v>0</v>
      </c>
      <c r="P79" s="93">
        <v>0</v>
      </c>
      <c r="Q79" s="93">
        <v>0</v>
      </c>
      <c r="R79" s="93">
        <v>3.5860849552384617E-2</v>
      </c>
      <c r="S79" s="93">
        <v>8.2868968911133961E-2</v>
      </c>
      <c r="T79" s="93">
        <v>0</v>
      </c>
      <c r="U79" s="93">
        <v>0.12032893686592244</v>
      </c>
      <c r="V79" s="93">
        <v>1.0789903892620308E-2</v>
      </c>
      <c r="W79" s="93">
        <v>2.517644241611405E-2</v>
      </c>
      <c r="X79" s="93">
        <v>0</v>
      </c>
      <c r="Y79" s="93">
        <v>0</v>
      </c>
      <c r="Z79" s="93">
        <v>0</v>
      </c>
      <c r="AA79" s="93">
        <v>0</v>
      </c>
      <c r="AB79" s="93">
        <v>0</v>
      </c>
      <c r="AC79" s="93">
        <v>0</v>
      </c>
      <c r="AD79" s="93">
        <v>0</v>
      </c>
      <c r="AE79" s="93">
        <v>0</v>
      </c>
      <c r="AF79" s="93">
        <v>0</v>
      </c>
      <c r="AG79" s="93">
        <v>0</v>
      </c>
      <c r="AH79" s="93">
        <v>4.6650753445004925E-2</v>
      </c>
      <c r="AI79" s="93">
        <v>0.10804541132724801</v>
      </c>
      <c r="AJ79" s="93">
        <v>0</v>
      </c>
      <c r="AK79" s="93">
        <v>0.12032893686592244</v>
      </c>
      <c r="AL79" s="93">
        <v>0.2750251016381754</v>
      </c>
      <c r="AM79" s="93">
        <v>0.39464358831739993</v>
      </c>
      <c r="AN79" s="93">
        <v>5.0367287855869511E-2</v>
      </c>
      <c r="AO79" s="93">
        <v>0</v>
      </c>
      <c r="AP79" s="93">
        <v>0</v>
      </c>
      <c r="AQ79" s="93">
        <v>0.44501087617326945</v>
      </c>
      <c r="AR79" s="93">
        <v>4.6650753445004925E-2</v>
      </c>
      <c r="AS79" s="251">
        <v>9.5392001910082431</v>
      </c>
      <c r="AT79" s="93">
        <v>0.39464358831739993</v>
      </c>
      <c r="AU79" s="93">
        <v>5.961986692805351E-2</v>
      </c>
      <c r="AV79" s="93">
        <v>0</v>
      </c>
      <c r="AW79" s="93">
        <v>0</v>
      </c>
      <c r="AX79" s="93">
        <v>0.45426345524545342</v>
      </c>
      <c r="AY79" s="93">
        <v>0.10804541132724801</v>
      </c>
      <c r="AZ79" s="251">
        <v>4.2043752683728508</v>
      </c>
      <c r="BA79" s="93">
        <v>0.39464358831739993</v>
      </c>
      <c r="BB79" s="93">
        <v>0.10998715478392301</v>
      </c>
      <c r="BC79" s="93">
        <v>0</v>
      </c>
      <c r="BD79" s="93">
        <v>0</v>
      </c>
      <c r="BE79" s="93">
        <v>0.50463074310132294</v>
      </c>
      <c r="BF79" s="93">
        <v>0.15469616477225293</v>
      </c>
      <c r="BG79" s="93">
        <v>4.3385658767157969</v>
      </c>
      <c r="BH79" s="251">
        <v>3.2620766251332176</v>
      </c>
      <c r="BI79" s="93">
        <v>4.5269928158196935</v>
      </c>
      <c r="BJ79" s="93">
        <v>10.48473528808799</v>
      </c>
      <c r="BK79" s="93">
        <v>0</v>
      </c>
      <c r="BL79" s="93">
        <v>11.676729581000551</v>
      </c>
      <c r="BM79" s="93">
        <v>26.688457684908233</v>
      </c>
      <c r="BN79" s="93">
        <v>0.39464358831739993</v>
      </c>
      <c r="BO79" s="93">
        <v>0</v>
      </c>
      <c r="BP79" s="93">
        <v>0.10998715478392301</v>
      </c>
      <c r="BQ79" s="93">
        <v>0</v>
      </c>
      <c r="BR79" s="93">
        <v>0</v>
      </c>
      <c r="BS79" s="93">
        <v>0</v>
      </c>
      <c r="BT79" s="93">
        <v>0</v>
      </c>
      <c r="BU79" s="93">
        <v>0</v>
      </c>
      <c r="BV79" s="93">
        <v>0</v>
      </c>
      <c r="BW79" s="93">
        <v>0</v>
      </c>
      <c r="BX79" s="93">
        <v>0.23905875532944101</v>
      </c>
      <c r="BY79" s="93">
        <v>3.5966346308734361E-2</v>
      </c>
      <c r="BZ79" s="93">
        <v>0</v>
      </c>
      <c r="CA79" s="93">
        <v>0</v>
      </c>
      <c r="CB79" s="93">
        <v>0.50463074310132294</v>
      </c>
      <c r="CC79" s="93">
        <v>0.2750251016381754</v>
      </c>
      <c r="CD79" s="251">
        <v>1.8348534010005313</v>
      </c>
      <c r="CE79" s="93">
        <v>16.015295457716352</v>
      </c>
      <c r="CF79" s="93">
        <v>7.203551849990773E-3</v>
      </c>
      <c r="CG79" s="93">
        <v>0</v>
      </c>
      <c r="CH79" s="93">
        <v>7.203551849990773E-3</v>
      </c>
      <c r="CI79" s="93">
        <v>3.6017418413007468E-4</v>
      </c>
      <c r="CJ79" s="93">
        <v>0</v>
      </c>
      <c r="CK79" s="93">
        <v>3.6017418413007468E-4</v>
      </c>
      <c r="CL79" s="93"/>
      <c r="CM79" s="93">
        <v>0</v>
      </c>
      <c r="CN79" s="93"/>
      <c r="CO79" s="93">
        <v>0</v>
      </c>
      <c r="CP79" s="93">
        <v>0</v>
      </c>
      <c r="CQ79" s="93">
        <v>0</v>
      </c>
      <c r="CR79" s="93">
        <v>0</v>
      </c>
      <c r="CS79" s="93">
        <v>0</v>
      </c>
      <c r="CT79" s="93">
        <v>0</v>
      </c>
      <c r="CU79" s="93">
        <v>0</v>
      </c>
      <c r="CV79" s="93">
        <v>9999</v>
      </c>
      <c r="CW79" s="251">
        <v>9999</v>
      </c>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row>
    <row r="80" spans="1:131">
      <c r="A80" s="71" t="s">
        <v>492</v>
      </c>
      <c r="B80" s="71"/>
      <c r="C80" s="93">
        <v>15.000000000000002</v>
      </c>
      <c r="D80" s="93">
        <v>0.39486164846664223</v>
      </c>
      <c r="E80" s="93">
        <v>0</v>
      </c>
      <c r="F80" s="93">
        <v>0.11606750141743268</v>
      </c>
      <c r="G80" s="93">
        <v>0</v>
      </c>
      <c r="H80" s="93">
        <v>0</v>
      </c>
      <c r="I80" s="93"/>
      <c r="J80" s="93"/>
      <c r="K80" s="93"/>
      <c r="L80" s="93">
        <v>0.42439544730337114</v>
      </c>
      <c r="M80" s="93">
        <v>7.9780559418868961E-5</v>
      </c>
      <c r="N80" s="93">
        <v>7.9204739118063082E-5</v>
      </c>
      <c r="O80" s="93">
        <v>0</v>
      </c>
      <c r="P80" s="93">
        <v>0</v>
      </c>
      <c r="Q80" s="93">
        <v>0</v>
      </c>
      <c r="R80" s="93">
        <v>2.3145410270605887E-2</v>
      </c>
      <c r="S80" s="93">
        <v>5.3485522738340625E-2</v>
      </c>
      <c r="T80" s="93">
        <v>0</v>
      </c>
      <c r="U80" s="93">
        <v>7.7663040501013789E-2</v>
      </c>
      <c r="V80" s="93">
        <v>6.964050085045961E-3</v>
      </c>
      <c r="W80" s="93">
        <v>1.6249450198440575E-2</v>
      </c>
      <c r="X80" s="93">
        <v>0</v>
      </c>
      <c r="Y80" s="93">
        <v>0</v>
      </c>
      <c r="Z80" s="93">
        <v>0</v>
      </c>
      <c r="AA80" s="93">
        <v>0</v>
      </c>
      <c r="AB80" s="93">
        <v>0</v>
      </c>
      <c r="AC80" s="93">
        <v>0</v>
      </c>
      <c r="AD80" s="93">
        <v>0</v>
      </c>
      <c r="AE80" s="93">
        <v>0</v>
      </c>
      <c r="AF80" s="93">
        <v>0</v>
      </c>
      <c r="AG80" s="93">
        <v>0</v>
      </c>
      <c r="AH80" s="93">
        <v>3.0109460355651846E-2</v>
      </c>
      <c r="AI80" s="93">
        <v>6.97349729367812E-2</v>
      </c>
      <c r="AJ80" s="93">
        <v>0</v>
      </c>
      <c r="AK80" s="93">
        <v>7.7663040501013789E-2</v>
      </c>
      <c r="AL80" s="93">
        <v>0.17750747379344683</v>
      </c>
      <c r="AM80" s="93">
        <v>0.22088020476009476</v>
      </c>
      <c r="AN80" s="93">
        <v>2.8190339800649385E-2</v>
      </c>
      <c r="AO80" s="93">
        <v>0</v>
      </c>
      <c r="AP80" s="93">
        <v>0</v>
      </c>
      <c r="AQ80" s="93">
        <v>0.24907054456074415</v>
      </c>
      <c r="AR80" s="93">
        <v>3.0109460355651846E-2</v>
      </c>
      <c r="AS80" s="251">
        <v>8.2721689999997334</v>
      </c>
      <c r="AT80" s="93">
        <v>0.22088020476009476</v>
      </c>
      <c r="AU80" s="93">
        <v>3.3368965833157661E-2</v>
      </c>
      <c r="AV80" s="93">
        <v>0</v>
      </c>
      <c r="AW80" s="93">
        <v>0</v>
      </c>
      <c r="AX80" s="93">
        <v>0.25424917059325242</v>
      </c>
      <c r="AY80" s="93">
        <v>6.97349729367812E-2</v>
      </c>
      <c r="AZ80" s="251">
        <v>3.6459348858390475</v>
      </c>
      <c r="BA80" s="93">
        <v>0.22088020476009476</v>
      </c>
      <c r="BB80" s="93">
        <v>6.1559305633807043E-2</v>
      </c>
      <c r="BC80" s="93">
        <v>0</v>
      </c>
      <c r="BD80" s="93">
        <v>0</v>
      </c>
      <c r="BE80" s="93">
        <v>0.2824395103939018</v>
      </c>
      <c r="BF80" s="93">
        <v>9.9844433292433046E-2</v>
      </c>
      <c r="BG80" s="93">
        <v>6.6378815384957663</v>
      </c>
      <c r="BH80" s="251">
        <v>2.8287957683796798</v>
      </c>
      <c r="BI80" s="93">
        <v>5.2203830377935434</v>
      </c>
      <c r="BJ80" s="93">
        <v>12.090660727894111</v>
      </c>
      <c r="BK80" s="93">
        <v>0</v>
      </c>
      <c r="BL80" s="93">
        <v>13.465230346410442</v>
      </c>
      <c r="BM80" s="93">
        <v>30.776274112098097</v>
      </c>
      <c r="BN80" s="93">
        <v>0.22088020476009476</v>
      </c>
      <c r="BO80" s="93">
        <v>0</v>
      </c>
      <c r="BP80" s="93">
        <v>6.1559305633807043E-2</v>
      </c>
      <c r="BQ80" s="93">
        <v>0</v>
      </c>
      <c r="BR80" s="93">
        <v>0</v>
      </c>
      <c r="BS80" s="93">
        <v>0</v>
      </c>
      <c r="BT80" s="93">
        <v>0</v>
      </c>
      <c r="BU80" s="93">
        <v>0</v>
      </c>
      <c r="BV80" s="93">
        <v>0</v>
      </c>
      <c r="BW80" s="93">
        <v>0</v>
      </c>
      <c r="BX80" s="93">
        <v>0.1542939735099603</v>
      </c>
      <c r="BY80" s="93">
        <v>2.3213500283486538E-2</v>
      </c>
      <c r="BZ80" s="93">
        <v>0</v>
      </c>
      <c r="CA80" s="93">
        <v>0</v>
      </c>
      <c r="CB80" s="93">
        <v>0.2824395103939018</v>
      </c>
      <c r="CC80" s="93">
        <v>0.17750747379344683</v>
      </c>
      <c r="CD80" s="251">
        <v>1.591141512850085</v>
      </c>
      <c r="CE80" s="93">
        <v>20.103111884906212</v>
      </c>
      <c r="CF80" s="93">
        <v>4.0317949023568819E-3</v>
      </c>
      <c r="CG80" s="93">
        <v>0</v>
      </c>
      <c r="CH80" s="93">
        <v>4.0317949023568819E-3</v>
      </c>
      <c r="CI80" s="93">
        <v>2.0158783746910132E-4</v>
      </c>
      <c r="CJ80" s="93">
        <v>0</v>
      </c>
      <c r="CK80" s="93">
        <v>2.0158783746910132E-4</v>
      </c>
      <c r="CL80" s="93"/>
      <c r="CM80" s="93">
        <v>0</v>
      </c>
      <c r="CN80" s="93"/>
      <c r="CO80" s="93">
        <v>0</v>
      </c>
      <c r="CP80" s="93">
        <v>0</v>
      </c>
      <c r="CQ80" s="93">
        <v>0</v>
      </c>
      <c r="CR80" s="93">
        <v>0</v>
      </c>
      <c r="CS80" s="93">
        <v>0</v>
      </c>
      <c r="CT80" s="93">
        <v>0</v>
      </c>
      <c r="CU80" s="93">
        <v>0</v>
      </c>
      <c r="CV80" s="93">
        <v>9999</v>
      </c>
      <c r="CW80" s="251">
        <v>9999</v>
      </c>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row>
    <row r="81" spans="1:131">
      <c r="A81" s="71" t="s">
        <v>495</v>
      </c>
      <c r="B81" s="71"/>
      <c r="C81" s="93">
        <v>15</v>
      </c>
      <c r="D81" s="93">
        <v>0.91933584896114628</v>
      </c>
      <c r="E81" s="93">
        <v>0</v>
      </c>
      <c r="F81" s="93">
        <v>0.29228310942328339</v>
      </c>
      <c r="G81" s="93">
        <v>0</v>
      </c>
      <c r="H81" s="93">
        <v>0</v>
      </c>
      <c r="I81" s="93"/>
      <c r="J81" s="93"/>
      <c r="K81" s="93"/>
      <c r="L81" s="93">
        <v>0.98809785745715661</v>
      </c>
      <c r="M81" s="93">
        <v>1.8574892904580788E-4</v>
      </c>
      <c r="N81" s="93">
        <v>1.844082765738696E-4</v>
      </c>
      <c r="O81" s="93">
        <v>0</v>
      </c>
      <c r="P81" s="93">
        <v>0</v>
      </c>
      <c r="Q81" s="93">
        <v>0</v>
      </c>
      <c r="R81" s="93">
        <v>5.8285156483554854E-2</v>
      </c>
      <c r="S81" s="93">
        <v>0.13468813151123757</v>
      </c>
      <c r="T81" s="93">
        <v>0</v>
      </c>
      <c r="U81" s="93">
        <v>0.19557235821993285</v>
      </c>
      <c r="V81" s="93">
        <v>1.7536986565397004E-2</v>
      </c>
      <c r="W81" s="93">
        <v>4.0919635319259677E-2</v>
      </c>
      <c r="X81" s="93">
        <v>0</v>
      </c>
      <c r="Y81" s="93">
        <v>0</v>
      </c>
      <c r="Z81" s="93">
        <v>0</v>
      </c>
      <c r="AA81" s="93">
        <v>0</v>
      </c>
      <c r="AB81" s="93">
        <v>0</v>
      </c>
      <c r="AC81" s="93">
        <v>0</v>
      </c>
      <c r="AD81" s="93">
        <v>0</v>
      </c>
      <c r="AE81" s="93">
        <v>0</v>
      </c>
      <c r="AF81" s="93">
        <v>0</v>
      </c>
      <c r="AG81" s="93">
        <v>0</v>
      </c>
      <c r="AH81" s="93">
        <v>7.5822143048951851E-2</v>
      </c>
      <c r="AI81" s="93">
        <v>0.17560776683049725</v>
      </c>
      <c r="AJ81" s="93">
        <v>0</v>
      </c>
      <c r="AK81" s="93">
        <v>0.19557235821993285</v>
      </c>
      <c r="AL81" s="93">
        <v>0.44700226809938193</v>
      </c>
      <c r="AM81" s="93">
        <v>0.51426389812832973</v>
      </c>
      <c r="AN81" s="93">
        <v>6.563410266298017E-2</v>
      </c>
      <c r="AO81" s="93">
        <v>0</v>
      </c>
      <c r="AP81" s="93">
        <v>0</v>
      </c>
      <c r="AQ81" s="93">
        <v>0.57989800079130993</v>
      </c>
      <c r="AR81" s="93">
        <v>7.5822143048951851E-2</v>
      </c>
      <c r="AS81" s="251">
        <v>7.6481351947137597</v>
      </c>
      <c r="AT81" s="93">
        <v>0.51426389812832973</v>
      </c>
      <c r="AU81" s="93">
        <v>7.7691228439910373E-2</v>
      </c>
      <c r="AV81" s="93">
        <v>0</v>
      </c>
      <c r="AW81" s="93">
        <v>0</v>
      </c>
      <c r="AX81" s="93">
        <v>0.59195512656824012</v>
      </c>
      <c r="AY81" s="93">
        <v>0.17560776683049725</v>
      </c>
      <c r="AZ81" s="251">
        <v>3.3708937665588325</v>
      </c>
      <c r="BA81" s="93">
        <v>0.51426389812832973</v>
      </c>
      <c r="BB81" s="93">
        <v>0.14332533110289053</v>
      </c>
      <c r="BC81" s="93">
        <v>0</v>
      </c>
      <c r="BD81" s="93">
        <v>0</v>
      </c>
      <c r="BE81" s="93">
        <v>0.65758922923122032</v>
      </c>
      <c r="BF81" s="93">
        <v>0.25142990987944908</v>
      </c>
      <c r="BG81" s="93">
        <v>8.0503404241651442</v>
      </c>
      <c r="BH81" s="251">
        <v>2.6153977844024561</v>
      </c>
      <c r="BI81" s="93">
        <v>5.6463294167718248</v>
      </c>
      <c r="BJ81" s="93">
        <v>13.077173234585207</v>
      </c>
      <c r="BK81" s="93">
        <v>0</v>
      </c>
      <c r="BL81" s="93">
        <v>14.563898023981119</v>
      </c>
      <c r="BM81" s="93">
        <v>33.287400675338148</v>
      </c>
      <c r="BN81" s="93">
        <v>0.51426389812832973</v>
      </c>
      <c r="BO81" s="93">
        <v>0</v>
      </c>
      <c r="BP81" s="93">
        <v>0.14332533110289053</v>
      </c>
      <c r="BQ81" s="93">
        <v>0</v>
      </c>
      <c r="BR81" s="93">
        <v>0</v>
      </c>
      <c r="BS81" s="93">
        <v>0</v>
      </c>
      <c r="BT81" s="93">
        <v>0</v>
      </c>
      <c r="BU81" s="93">
        <v>0</v>
      </c>
      <c r="BV81" s="93">
        <v>0</v>
      </c>
      <c r="BW81" s="93">
        <v>0</v>
      </c>
      <c r="BX81" s="93">
        <v>0.38854564621472526</v>
      </c>
      <c r="BY81" s="93">
        <v>5.8456621884656682E-2</v>
      </c>
      <c r="BZ81" s="93">
        <v>0</v>
      </c>
      <c r="CA81" s="93">
        <v>0</v>
      </c>
      <c r="CB81" s="93">
        <v>0.65758922923122032</v>
      </c>
      <c r="CC81" s="93">
        <v>0.44700226809938193</v>
      </c>
      <c r="CD81" s="251">
        <v>1.4711093794383581</v>
      </c>
      <c r="CE81" s="93">
        <v>22.614238448146263</v>
      </c>
      <c r="CF81" s="93">
        <v>9.3870184754309399E-3</v>
      </c>
      <c r="CG81" s="93">
        <v>0</v>
      </c>
      <c r="CH81" s="93">
        <v>9.3870184754309399E-3</v>
      </c>
      <c r="CI81" s="93">
        <v>4.6934648229214929E-4</v>
      </c>
      <c r="CJ81" s="93">
        <v>0</v>
      </c>
      <c r="CK81" s="93">
        <v>4.6934648229214929E-4</v>
      </c>
      <c r="CL81" s="93"/>
      <c r="CM81" s="93">
        <v>0</v>
      </c>
      <c r="CN81" s="93"/>
      <c r="CO81" s="93">
        <v>0</v>
      </c>
      <c r="CP81" s="93">
        <v>0</v>
      </c>
      <c r="CQ81" s="93">
        <v>0</v>
      </c>
      <c r="CR81" s="93">
        <v>0</v>
      </c>
      <c r="CS81" s="93">
        <v>0</v>
      </c>
      <c r="CT81" s="93">
        <v>0</v>
      </c>
      <c r="CU81" s="93">
        <v>0</v>
      </c>
      <c r="CV81" s="93">
        <v>9999</v>
      </c>
      <c r="CW81" s="251">
        <v>9999</v>
      </c>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row>
    <row r="82" spans="1:131">
      <c r="A82" s="71" t="s">
        <v>496</v>
      </c>
      <c r="B82" s="71"/>
      <c r="C82" s="93">
        <v>15</v>
      </c>
      <c r="D82" s="93">
        <v>0.91933584896114628</v>
      </c>
      <c r="E82" s="93">
        <v>0</v>
      </c>
      <c r="F82" s="93">
        <v>0.29228310942328339</v>
      </c>
      <c r="G82" s="93">
        <v>0</v>
      </c>
      <c r="H82" s="93">
        <v>0</v>
      </c>
      <c r="I82" s="93"/>
      <c r="J82" s="93"/>
      <c r="K82" s="93"/>
      <c r="L82" s="93">
        <v>0.98809785745715661</v>
      </c>
      <c r="M82" s="93">
        <v>1.8574892904580788E-4</v>
      </c>
      <c r="N82" s="93">
        <v>1.844082765738696E-4</v>
      </c>
      <c r="O82" s="93">
        <v>0</v>
      </c>
      <c r="P82" s="93">
        <v>0</v>
      </c>
      <c r="Q82" s="93">
        <v>0</v>
      </c>
      <c r="R82" s="93">
        <v>5.8285156483554854E-2</v>
      </c>
      <c r="S82" s="93">
        <v>0.13468813151123757</v>
      </c>
      <c r="T82" s="93">
        <v>0</v>
      </c>
      <c r="U82" s="93">
        <v>0.19557235821993285</v>
      </c>
      <c r="V82" s="93">
        <v>1.7536986565397004E-2</v>
      </c>
      <c r="W82" s="93">
        <v>4.0919635319259677E-2</v>
      </c>
      <c r="X82" s="93">
        <v>0</v>
      </c>
      <c r="Y82" s="93">
        <v>0</v>
      </c>
      <c r="Z82" s="93">
        <v>0</v>
      </c>
      <c r="AA82" s="93">
        <v>0</v>
      </c>
      <c r="AB82" s="93">
        <v>0</v>
      </c>
      <c r="AC82" s="93">
        <v>0</v>
      </c>
      <c r="AD82" s="93">
        <v>0</v>
      </c>
      <c r="AE82" s="93">
        <v>0</v>
      </c>
      <c r="AF82" s="93">
        <v>0</v>
      </c>
      <c r="AG82" s="93">
        <v>0</v>
      </c>
      <c r="AH82" s="93">
        <v>7.5822143048951851E-2</v>
      </c>
      <c r="AI82" s="93">
        <v>0.17560776683049725</v>
      </c>
      <c r="AJ82" s="93">
        <v>0</v>
      </c>
      <c r="AK82" s="93">
        <v>0.19557235821993285</v>
      </c>
      <c r="AL82" s="93">
        <v>0.44700226809938193</v>
      </c>
      <c r="AM82" s="93">
        <v>0.51426389812832973</v>
      </c>
      <c r="AN82" s="93">
        <v>6.563410266298017E-2</v>
      </c>
      <c r="AO82" s="93">
        <v>0</v>
      </c>
      <c r="AP82" s="93">
        <v>0</v>
      </c>
      <c r="AQ82" s="93">
        <v>0.57989800079130993</v>
      </c>
      <c r="AR82" s="93">
        <v>7.5822143048951851E-2</v>
      </c>
      <c r="AS82" s="251">
        <v>7.6481351947137597</v>
      </c>
      <c r="AT82" s="93">
        <v>0.51426389812832973</v>
      </c>
      <c r="AU82" s="93">
        <v>7.7691228439910373E-2</v>
      </c>
      <c r="AV82" s="93">
        <v>0</v>
      </c>
      <c r="AW82" s="93">
        <v>0</v>
      </c>
      <c r="AX82" s="93">
        <v>0.59195512656824012</v>
      </c>
      <c r="AY82" s="93">
        <v>0.17560776683049725</v>
      </c>
      <c r="AZ82" s="251">
        <v>3.3708937665588325</v>
      </c>
      <c r="BA82" s="93">
        <v>0.51426389812832973</v>
      </c>
      <c r="BB82" s="93">
        <v>0.14332533110289053</v>
      </c>
      <c r="BC82" s="93">
        <v>0</v>
      </c>
      <c r="BD82" s="93">
        <v>0</v>
      </c>
      <c r="BE82" s="93">
        <v>0.65758922923122032</v>
      </c>
      <c r="BF82" s="93">
        <v>0.25142990987944908</v>
      </c>
      <c r="BG82" s="93">
        <v>8.0503404241651442</v>
      </c>
      <c r="BH82" s="251">
        <v>2.6153977844024561</v>
      </c>
      <c r="BI82" s="93">
        <v>5.6463294167718248</v>
      </c>
      <c r="BJ82" s="93">
        <v>13.077173234585207</v>
      </c>
      <c r="BK82" s="93">
        <v>0</v>
      </c>
      <c r="BL82" s="93">
        <v>14.563898023981119</v>
      </c>
      <c r="BM82" s="93">
        <v>33.287400675338148</v>
      </c>
      <c r="BN82" s="93">
        <v>0.51426389812832973</v>
      </c>
      <c r="BO82" s="93">
        <v>0</v>
      </c>
      <c r="BP82" s="93">
        <v>0.14332533110289053</v>
      </c>
      <c r="BQ82" s="93">
        <v>0</v>
      </c>
      <c r="BR82" s="93">
        <v>0</v>
      </c>
      <c r="BS82" s="93">
        <v>0</v>
      </c>
      <c r="BT82" s="93">
        <v>0</v>
      </c>
      <c r="BU82" s="93">
        <v>0</v>
      </c>
      <c r="BV82" s="93">
        <v>0</v>
      </c>
      <c r="BW82" s="93">
        <v>0</v>
      </c>
      <c r="BX82" s="93">
        <v>0.38854564621472526</v>
      </c>
      <c r="BY82" s="93">
        <v>5.8456621884656682E-2</v>
      </c>
      <c r="BZ82" s="93">
        <v>0</v>
      </c>
      <c r="CA82" s="93">
        <v>0</v>
      </c>
      <c r="CB82" s="93">
        <v>0.65758922923122032</v>
      </c>
      <c r="CC82" s="93">
        <v>0.44700226809938193</v>
      </c>
      <c r="CD82" s="251">
        <v>1.4711093794383581</v>
      </c>
      <c r="CE82" s="93">
        <v>22.614238448146263</v>
      </c>
      <c r="CF82" s="93">
        <v>9.3870184754309399E-3</v>
      </c>
      <c r="CG82" s="93">
        <v>0</v>
      </c>
      <c r="CH82" s="93">
        <v>9.3870184754309399E-3</v>
      </c>
      <c r="CI82" s="93">
        <v>4.6934648229214929E-4</v>
      </c>
      <c r="CJ82" s="93">
        <v>0</v>
      </c>
      <c r="CK82" s="93">
        <v>4.6934648229214929E-4</v>
      </c>
      <c r="CL82" s="93"/>
      <c r="CM82" s="93">
        <v>0</v>
      </c>
      <c r="CN82" s="93"/>
      <c r="CO82" s="93">
        <v>0</v>
      </c>
      <c r="CP82" s="93">
        <v>0</v>
      </c>
      <c r="CQ82" s="93">
        <v>0</v>
      </c>
      <c r="CR82" s="93">
        <v>0</v>
      </c>
      <c r="CS82" s="93">
        <v>0</v>
      </c>
      <c r="CT82" s="93">
        <v>0</v>
      </c>
      <c r="CU82" s="93">
        <v>0</v>
      </c>
      <c r="CV82" s="93">
        <v>9999</v>
      </c>
      <c r="CW82" s="251">
        <v>9999</v>
      </c>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row>
    <row r="83" spans="1:131">
      <c r="A83" s="71" t="s">
        <v>501</v>
      </c>
      <c r="B83" s="71"/>
      <c r="C83" s="93">
        <v>15.000000000000002</v>
      </c>
      <c r="D83" s="93">
        <v>0.70584176954140854</v>
      </c>
      <c r="E83" s="93">
        <v>0</v>
      </c>
      <c r="F83" s="93">
        <v>0.21500550974150753</v>
      </c>
      <c r="G83" s="93">
        <v>0</v>
      </c>
      <c r="H83" s="93">
        <v>0</v>
      </c>
      <c r="I83" s="93"/>
      <c r="J83" s="93"/>
      <c r="K83" s="93"/>
      <c r="L83" s="93">
        <v>0.75763738633758693</v>
      </c>
      <c r="M83" s="93">
        <v>9.1872907910982293E-5</v>
      </c>
      <c r="N83" s="93">
        <v>9.1209810461496377E-5</v>
      </c>
      <c r="O83" s="93">
        <v>0</v>
      </c>
      <c r="P83" s="93">
        <v>0</v>
      </c>
      <c r="Q83" s="93">
        <v>0</v>
      </c>
      <c r="R83" s="93">
        <v>4.2874970794025524E-2</v>
      </c>
      <c r="S83" s="93">
        <v>9.9077536258747545E-2</v>
      </c>
      <c r="T83" s="93">
        <v>0</v>
      </c>
      <c r="U83" s="93">
        <v>0.14386440137917772</v>
      </c>
      <c r="V83" s="93">
        <v>1.2900330584490452E-2</v>
      </c>
      <c r="W83" s="93">
        <v>3.0100771363811056E-2</v>
      </c>
      <c r="X83" s="93">
        <v>0</v>
      </c>
      <c r="Y83" s="93">
        <v>0</v>
      </c>
      <c r="Z83" s="93">
        <v>0</v>
      </c>
      <c r="AA83" s="93">
        <v>0</v>
      </c>
      <c r="AB83" s="93">
        <v>0</v>
      </c>
      <c r="AC83" s="93">
        <v>0</v>
      </c>
      <c r="AD83" s="93">
        <v>0</v>
      </c>
      <c r="AE83" s="93">
        <v>0</v>
      </c>
      <c r="AF83" s="93">
        <v>0</v>
      </c>
      <c r="AG83" s="93">
        <v>0</v>
      </c>
      <c r="AH83" s="93">
        <v>5.5775301378515975E-2</v>
      </c>
      <c r="AI83" s="93">
        <v>0.12917830762255861</v>
      </c>
      <c r="AJ83" s="93">
        <v>0</v>
      </c>
      <c r="AK83" s="93">
        <v>0.14386440137917772</v>
      </c>
      <c r="AL83" s="93">
        <v>0.32881801038025227</v>
      </c>
      <c r="AM83" s="93">
        <v>0.38200644465065714</v>
      </c>
      <c r="AN83" s="93">
        <v>3.2463152820056733E-2</v>
      </c>
      <c r="AO83" s="93">
        <v>0</v>
      </c>
      <c r="AP83" s="93">
        <v>0</v>
      </c>
      <c r="AQ83" s="93">
        <v>0.41446959747071388</v>
      </c>
      <c r="AR83" s="93">
        <v>5.5775301378515975E-2</v>
      </c>
      <c r="AS83" s="251">
        <v>7.4310597563236644</v>
      </c>
      <c r="AT83" s="93">
        <v>0.38200644465065714</v>
      </c>
      <c r="AU83" s="93">
        <v>3.8426703791065886E-2</v>
      </c>
      <c r="AV83" s="93">
        <v>0</v>
      </c>
      <c r="AW83" s="93">
        <v>0</v>
      </c>
      <c r="AX83" s="93">
        <v>0.42043314844172303</v>
      </c>
      <c r="AY83" s="93">
        <v>0.12917830762255861</v>
      </c>
      <c r="AZ83" s="251">
        <v>3.254672987899573</v>
      </c>
      <c r="BA83" s="93">
        <v>0.38200644465065714</v>
      </c>
      <c r="BB83" s="93">
        <v>7.0889856611122626E-2</v>
      </c>
      <c r="BC83" s="93">
        <v>0</v>
      </c>
      <c r="BD83" s="93">
        <v>0</v>
      </c>
      <c r="BE83" s="93">
        <v>0.45289630126177977</v>
      </c>
      <c r="BF83" s="93">
        <v>0.18495360900107458</v>
      </c>
      <c r="BG83" s="93">
        <v>11.07787274130667</v>
      </c>
      <c r="BH83" s="251">
        <v>2.4487021567616365</v>
      </c>
      <c r="BI83" s="93">
        <v>5.4168978122593821</v>
      </c>
      <c r="BJ83" s="93">
        <v>12.545798492476482</v>
      </c>
      <c r="BK83" s="93">
        <v>0</v>
      </c>
      <c r="BL83" s="93">
        <v>13.972112060931876</v>
      </c>
      <c r="BM83" s="93">
        <v>31.934808365667735</v>
      </c>
      <c r="BN83" s="93">
        <v>0.38200644465065714</v>
      </c>
      <c r="BO83" s="93">
        <v>0</v>
      </c>
      <c r="BP83" s="93">
        <v>7.0889856611122626E-2</v>
      </c>
      <c r="BQ83" s="93">
        <v>0</v>
      </c>
      <c r="BR83" s="93">
        <v>0</v>
      </c>
      <c r="BS83" s="93">
        <v>0</v>
      </c>
      <c r="BT83" s="93">
        <v>0</v>
      </c>
      <c r="BU83" s="93">
        <v>0</v>
      </c>
      <c r="BV83" s="93">
        <v>0</v>
      </c>
      <c r="BW83" s="93">
        <v>0</v>
      </c>
      <c r="BX83" s="93">
        <v>0.28581690843195079</v>
      </c>
      <c r="BY83" s="93">
        <v>4.3001101948301507E-2</v>
      </c>
      <c r="BZ83" s="93">
        <v>0</v>
      </c>
      <c r="CA83" s="93">
        <v>0</v>
      </c>
      <c r="CB83" s="93">
        <v>0.45289630126177977</v>
      </c>
      <c r="CC83" s="93">
        <v>0.32881801038025227</v>
      </c>
      <c r="CD83" s="251">
        <v>1.3773463951626028</v>
      </c>
      <c r="CE83" s="93">
        <v>25.049984802238548</v>
      </c>
      <c r="CF83" s="93">
        <v>7.1976239909175444E-3</v>
      </c>
      <c r="CG83" s="93">
        <v>0</v>
      </c>
      <c r="CH83" s="93">
        <v>7.1976239909175444E-3</v>
      </c>
      <c r="CI83" s="93">
        <v>3.5987775851035379E-4</v>
      </c>
      <c r="CJ83" s="93">
        <v>0</v>
      </c>
      <c r="CK83" s="93">
        <v>3.5987775851035379E-4</v>
      </c>
      <c r="CL83" s="93"/>
      <c r="CM83" s="93">
        <v>0</v>
      </c>
      <c r="CN83" s="93"/>
      <c r="CO83" s="93">
        <v>0</v>
      </c>
      <c r="CP83" s="93">
        <v>0</v>
      </c>
      <c r="CQ83" s="93">
        <v>0</v>
      </c>
      <c r="CR83" s="93">
        <v>0</v>
      </c>
      <c r="CS83" s="93">
        <v>0</v>
      </c>
      <c r="CT83" s="93">
        <v>0</v>
      </c>
      <c r="CU83" s="93">
        <v>0</v>
      </c>
      <c r="CV83" s="93">
        <v>9999</v>
      </c>
      <c r="CW83" s="251">
        <v>9999</v>
      </c>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row>
    <row r="84" spans="1:131">
      <c r="A84" s="71" t="s">
        <v>497</v>
      </c>
      <c r="B84" s="71"/>
      <c r="C84" s="93">
        <v>15</v>
      </c>
      <c r="D84" s="93">
        <v>2.0063752897795508</v>
      </c>
      <c r="E84" s="93">
        <v>0</v>
      </c>
      <c r="F84" s="93">
        <v>0.73229385146975234</v>
      </c>
      <c r="G84" s="93">
        <v>0</v>
      </c>
      <c r="H84" s="93">
        <v>0</v>
      </c>
      <c r="I84" s="93"/>
      <c r="J84" s="93"/>
      <c r="K84" s="93"/>
      <c r="L84" s="93">
        <v>2.1564427486716466</v>
      </c>
      <c r="M84" s="93">
        <v>4.0538184360117846E-4</v>
      </c>
      <c r="N84" s="93">
        <v>4.0245597924494953E-4</v>
      </c>
      <c r="O84" s="93">
        <v>0</v>
      </c>
      <c r="P84" s="93">
        <v>0</v>
      </c>
      <c r="Q84" s="93">
        <v>0</v>
      </c>
      <c r="R84" s="93">
        <v>0.14602917633207418</v>
      </c>
      <c r="S84" s="93">
        <v>0.3374512155910836</v>
      </c>
      <c r="T84" s="93">
        <v>0</v>
      </c>
      <c r="U84" s="93">
        <v>0.48999217137276013</v>
      </c>
      <c r="V84" s="93">
        <v>4.3937631088185145E-2</v>
      </c>
      <c r="W84" s="93">
        <v>0.10252113920576533</v>
      </c>
      <c r="X84" s="93">
        <v>0</v>
      </c>
      <c r="Y84" s="93">
        <v>0</v>
      </c>
      <c r="Z84" s="93">
        <v>0</v>
      </c>
      <c r="AA84" s="93">
        <v>0</v>
      </c>
      <c r="AB84" s="93">
        <v>0</v>
      </c>
      <c r="AC84" s="93">
        <v>0</v>
      </c>
      <c r="AD84" s="93">
        <v>0</v>
      </c>
      <c r="AE84" s="93">
        <v>0</v>
      </c>
      <c r="AF84" s="93">
        <v>0</v>
      </c>
      <c r="AG84" s="93">
        <v>0</v>
      </c>
      <c r="AH84" s="93">
        <v>0.18996680742025934</v>
      </c>
      <c r="AI84" s="93">
        <v>0.43997235479684893</v>
      </c>
      <c r="AJ84" s="93">
        <v>0</v>
      </c>
      <c r="AK84" s="93">
        <v>0.48999217137276013</v>
      </c>
      <c r="AL84" s="93">
        <v>1.1199313335898684</v>
      </c>
      <c r="AM84" s="93">
        <v>1.1223388914903458</v>
      </c>
      <c r="AN84" s="93">
        <v>0.14324106027048128</v>
      </c>
      <c r="AO84" s="93">
        <v>0</v>
      </c>
      <c r="AP84" s="93">
        <v>0</v>
      </c>
      <c r="AQ84" s="93">
        <v>1.265579951760827</v>
      </c>
      <c r="AR84" s="93">
        <v>0.18996680742025934</v>
      </c>
      <c r="AS84" s="251">
        <v>6.6621109705813639</v>
      </c>
      <c r="AT84" s="93">
        <v>1.1223388914903458</v>
      </c>
      <c r="AU84" s="93">
        <v>0.16955475102009457</v>
      </c>
      <c r="AV84" s="93">
        <v>0</v>
      </c>
      <c r="AW84" s="93">
        <v>0</v>
      </c>
      <c r="AX84" s="93">
        <v>1.2918936425104404</v>
      </c>
      <c r="AY84" s="93">
        <v>0.43997235479684893</v>
      </c>
      <c r="AZ84" s="251">
        <v>2.9363064029487811</v>
      </c>
      <c r="BA84" s="93">
        <v>1.1223388914903458</v>
      </c>
      <c r="BB84" s="93">
        <v>0.31279581129057588</v>
      </c>
      <c r="BC84" s="93">
        <v>0</v>
      </c>
      <c r="BD84" s="93">
        <v>0</v>
      </c>
      <c r="BE84" s="93">
        <v>1.4351347027809216</v>
      </c>
      <c r="BF84" s="93">
        <v>0.62993916221710822</v>
      </c>
      <c r="BG84" s="93">
        <v>10.821508190113379</v>
      </c>
      <c r="BH84" s="251">
        <v>2.2782115938464278</v>
      </c>
      <c r="BI84" s="93">
        <v>6.4820131222749326</v>
      </c>
      <c r="BJ84" s="93">
        <v>15.012657295030326</v>
      </c>
      <c r="BK84" s="93">
        <v>0</v>
      </c>
      <c r="BL84" s="93">
        <v>16.719424449892053</v>
      </c>
      <c r="BM84" s="93">
        <v>38.214094867197311</v>
      </c>
      <c r="BN84" s="93">
        <v>1.1223388914903458</v>
      </c>
      <c r="BO84" s="93">
        <v>0</v>
      </c>
      <c r="BP84" s="93">
        <v>0.31279581129057588</v>
      </c>
      <c r="BQ84" s="93">
        <v>0</v>
      </c>
      <c r="BR84" s="93">
        <v>0</v>
      </c>
      <c r="BS84" s="93">
        <v>0</v>
      </c>
      <c r="BT84" s="93">
        <v>0</v>
      </c>
      <c r="BU84" s="93">
        <v>0</v>
      </c>
      <c r="BV84" s="93">
        <v>0</v>
      </c>
      <c r="BW84" s="93">
        <v>0</v>
      </c>
      <c r="BX84" s="93">
        <v>0.97347256329591791</v>
      </c>
      <c r="BY84" s="93">
        <v>0.14645877029395046</v>
      </c>
      <c r="BZ84" s="93">
        <v>0</v>
      </c>
      <c r="CA84" s="93">
        <v>0</v>
      </c>
      <c r="CB84" s="93">
        <v>1.4351347027809216</v>
      </c>
      <c r="CC84" s="93">
        <v>1.1199313335898684</v>
      </c>
      <c r="CD84" s="251">
        <v>1.2814488350644579</v>
      </c>
      <c r="CE84" s="93">
        <v>27.540932640005433</v>
      </c>
      <c r="CF84" s="93">
        <v>2.0486399975690191E-2</v>
      </c>
      <c r="CG84" s="93">
        <v>0</v>
      </c>
      <c r="CH84" s="93">
        <v>2.0486399975690191E-2</v>
      </c>
      <c r="CI84" s="93">
        <v>1.0243103056190317E-3</v>
      </c>
      <c r="CJ84" s="93">
        <v>0</v>
      </c>
      <c r="CK84" s="93">
        <v>1.0243103056190317E-3</v>
      </c>
      <c r="CL84" s="93"/>
      <c r="CM84" s="93">
        <v>0</v>
      </c>
      <c r="CN84" s="93"/>
      <c r="CO84" s="93">
        <v>0</v>
      </c>
      <c r="CP84" s="93">
        <v>0</v>
      </c>
      <c r="CQ84" s="93">
        <v>0</v>
      </c>
      <c r="CR84" s="93">
        <v>0</v>
      </c>
      <c r="CS84" s="93">
        <v>0</v>
      </c>
      <c r="CT84" s="93">
        <v>0</v>
      </c>
      <c r="CU84" s="93">
        <v>0</v>
      </c>
      <c r="CV84" s="93">
        <v>9999</v>
      </c>
      <c r="CW84" s="251">
        <v>9999</v>
      </c>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row>
    <row r="85" spans="1:131">
      <c r="A85" s="71" t="s">
        <v>498</v>
      </c>
      <c r="B85" s="71"/>
      <c r="C85" s="93">
        <v>14.999999999999998</v>
      </c>
      <c r="D85" s="93">
        <v>0.14122456218221954</v>
      </c>
      <c r="E85" s="93">
        <v>0</v>
      </c>
      <c r="F85" s="93">
        <v>6.6713799252344441E-2</v>
      </c>
      <c r="G85" s="93">
        <v>0</v>
      </c>
      <c r="H85" s="93">
        <v>0</v>
      </c>
      <c r="I85" s="93"/>
      <c r="J85" s="93"/>
      <c r="K85" s="93"/>
      <c r="L85" s="93">
        <v>0.15178749688730306</v>
      </c>
      <c r="M85" s="93">
        <v>2.8533980492496855E-5</v>
      </c>
      <c r="N85" s="93">
        <v>2.8328035017182317E-5</v>
      </c>
      <c r="O85" s="93">
        <v>0</v>
      </c>
      <c r="P85" s="93">
        <v>0</v>
      </c>
      <c r="Q85" s="93">
        <v>0</v>
      </c>
      <c r="R85" s="93">
        <v>1.3303622767349713E-2</v>
      </c>
      <c r="S85" s="93">
        <v>3.074264874574472E-2</v>
      </c>
      <c r="T85" s="93">
        <v>0</v>
      </c>
      <c r="U85" s="93">
        <v>4.4639510888386739E-2</v>
      </c>
      <c r="V85" s="93">
        <v>4.0028279551406667E-3</v>
      </c>
      <c r="W85" s="93">
        <v>9.3399318953282223E-3</v>
      </c>
      <c r="X85" s="93">
        <v>0</v>
      </c>
      <c r="Y85" s="93">
        <v>0</v>
      </c>
      <c r="Z85" s="93">
        <v>0</v>
      </c>
      <c r="AA85" s="93">
        <v>0</v>
      </c>
      <c r="AB85" s="93">
        <v>0</v>
      </c>
      <c r="AC85" s="93">
        <v>0</v>
      </c>
      <c r="AD85" s="93">
        <v>0</v>
      </c>
      <c r="AE85" s="93">
        <v>0</v>
      </c>
      <c r="AF85" s="93">
        <v>0</v>
      </c>
      <c r="AG85" s="93">
        <v>0</v>
      </c>
      <c r="AH85" s="93">
        <v>1.7306450722490381E-2</v>
      </c>
      <c r="AI85" s="93">
        <v>4.0082580641072944E-2</v>
      </c>
      <c r="AJ85" s="93">
        <v>0</v>
      </c>
      <c r="AK85" s="93">
        <v>4.4639510888386739E-2</v>
      </c>
      <c r="AL85" s="93">
        <v>0.10202854225195006</v>
      </c>
      <c r="AM85" s="93">
        <v>7.8999088245458191E-2</v>
      </c>
      <c r="AN85" s="93">
        <v>1.0082438777163322E-2</v>
      </c>
      <c r="AO85" s="93">
        <v>0</v>
      </c>
      <c r="AP85" s="93">
        <v>0</v>
      </c>
      <c r="AQ85" s="93">
        <v>8.9081527022621509E-2</v>
      </c>
      <c r="AR85" s="93">
        <v>1.7306450722490381E-2</v>
      </c>
      <c r="AS85" s="251">
        <v>5.1473019194430618</v>
      </c>
      <c r="AT85" s="93">
        <v>7.8999088245458191E-2</v>
      </c>
      <c r="AU85" s="93">
        <v>1.1934604458450578E-2</v>
      </c>
      <c r="AV85" s="93">
        <v>0</v>
      </c>
      <c r="AW85" s="93">
        <v>0</v>
      </c>
      <c r="AX85" s="93">
        <v>9.0933692703908775E-2</v>
      </c>
      <c r="AY85" s="93">
        <v>4.0082580641072944E-2</v>
      </c>
      <c r="AZ85" s="251">
        <v>2.2686586354853682</v>
      </c>
      <c r="BA85" s="93">
        <v>7.8999088245458191E-2</v>
      </c>
      <c r="BB85" s="93">
        <v>2.20170432356139E-2</v>
      </c>
      <c r="BC85" s="93">
        <v>0</v>
      </c>
      <c r="BD85" s="93">
        <v>0</v>
      </c>
      <c r="BE85" s="93">
        <v>0.10101613148107209</v>
      </c>
      <c r="BF85" s="93">
        <v>5.7389031363563325E-2</v>
      </c>
      <c r="BG85" s="93">
        <v>17.147214707614797</v>
      </c>
      <c r="BH85" s="251">
        <v>1.7601992764284204</v>
      </c>
      <c r="BI85" s="93">
        <v>8.3896168146345396</v>
      </c>
      <c r="BJ85" s="93">
        <v>19.430760120172142</v>
      </c>
      <c r="BK85" s="93">
        <v>0</v>
      </c>
      <c r="BL85" s="93">
        <v>21.639814954061222</v>
      </c>
      <c r="BM85" s="93">
        <v>49.460191888867897</v>
      </c>
      <c r="BN85" s="93">
        <v>7.8999088245458191E-2</v>
      </c>
      <c r="BO85" s="93">
        <v>0</v>
      </c>
      <c r="BP85" s="93">
        <v>2.20170432356139E-2</v>
      </c>
      <c r="BQ85" s="93">
        <v>0</v>
      </c>
      <c r="BR85" s="93">
        <v>0</v>
      </c>
      <c r="BS85" s="93">
        <v>0</v>
      </c>
      <c r="BT85" s="93">
        <v>0</v>
      </c>
      <c r="BU85" s="93">
        <v>0</v>
      </c>
      <c r="BV85" s="93">
        <v>0</v>
      </c>
      <c r="BW85" s="93">
        <v>0</v>
      </c>
      <c r="BX85" s="93">
        <v>8.8685782401481172E-2</v>
      </c>
      <c r="BY85" s="93">
        <v>1.3342759850468889E-2</v>
      </c>
      <c r="BZ85" s="93">
        <v>0</v>
      </c>
      <c r="CA85" s="93">
        <v>0</v>
      </c>
      <c r="CB85" s="93">
        <v>0.10101613148107208</v>
      </c>
      <c r="CC85" s="93">
        <v>0.10202854225195006</v>
      </c>
      <c r="CD85" s="252">
        <v>0.99007718086985974</v>
      </c>
      <c r="CE85" s="93">
        <v>38.787029661676023</v>
      </c>
      <c r="CF85" s="93">
        <v>1.4419948660624529E-3</v>
      </c>
      <c r="CG85" s="93">
        <v>0</v>
      </c>
      <c r="CH85" s="93">
        <v>1.4419948660624529E-3</v>
      </c>
      <c r="CI85" s="93">
        <v>7.2099061021468954E-5</v>
      </c>
      <c r="CJ85" s="93">
        <v>0</v>
      </c>
      <c r="CK85" s="93">
        <v>7.2099061021468954E-5</v>
      </c>
      <c r="CL85" s="93"/>
      <c r="CM85" s="93">
        <v>0</v>
      </c>
      <c r="CN85" s="93"/>
      <c r="CO85" s="93">
        <v>0</v>
      </c>
      <c r="CP85" s="93">
        <v>0</v>
      </c>
      <c r="CQ85" s="93">
        <v>0</v>
      </c>
      <c r="CR85" s="93">
        <v>0</v>
      </c>
      <c r="CS85" s="93">
        <v>0</v>
      </c>
      <c r="CT85" s="93">
        <v>0</v>
      </c>
      <c r="CU85" s="93">
        <v>0</v>
      </c>
      <c r="CV85" s="93">
        <v>9999</v>
      </c>
      <c r="CW85" s="251">
        <v>9999</v>
      </c>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row>
    <row r="86" spans="1:131">
      <c r="A86" s="71" t="s">
        <v>499</v>
      </c>
      <c r="B86" s="71"/>
      <c r="C86" s="93">
        <v>15</v>
      </c>
      <c r="D86" s="93">
        <v>0.11384121765439638</v>
      </c>
      <c r="E86" s="93">
        <v>0</v>
      </c>
      <c r="F86" s="93">
        <v>6.186975639218098E-2</v>
      </c>
      <c r="G86" s="93">
        <v>0</v>
      </c>
      <c r="H86" s="93">
        <v>0</v>
      </c>
      <c r="I86" s="93"/>
      <c r="J86" s="93"/>
      <c r="K86" s="93"/>
      <c r="L86" s="93">
        <v>0.12235600665603641</v>
      </c>
      <c r="M86" s="93">
        <v>2.3001261491618969E-5</v>
      </c>
      <c r="N86" s="93">
        <v>2.2835248700940464E-5</v>
      </c>
      <c r="O86" s="93">
        <v>0</v>
      </c>
      <c r="P86" s="93">
        <v>0</v>
      </c>
      <c r="Q86" s="93">
        <v>0</v>
      </c>
      <c r="R86" s="93">
        <v>1.233765591187605E-2</v>
      </c>
      <c r="S86" s="93">
        <v>2.8510446265474425E-2</v>
      </c>
      <c r="T86" s="93">
        <v>0</v>
      </c>
      <c r="U86" s="93">
        <v>4.1398266851569575E-2</v>
      </c>
      <c r="V86" s="93">
        <v>3.7121853835308588E-3</v>
      </c>
      <c r="W86" s="93">
        <v>8.6617658949053374E-3</v>
      </c>
      <c r="X86" s="93">
        <v>0</v>
      </c>
      <c r="Y86" s="93">
        <v>0</v>
      </c>
      <c r="Z86" s="93">
        <v>0</v>
      </c>
      <c r="AA86" s="93">
        <v>0</v>
      </c>
      <c r="AB86" s="93">
        <v>0</v>
      </c>
      <c r="AC86" s="93">
        <v>0</v>
      </c>
      <c r="AD86" s="93">
        <v>0</v>
      </c>
      <c r="AE86" s="93">
        <v>0</v>
      </c>
      <c r="AF86" s="93">
        <v>0</v>
      </c>
      <c r="AG86" s="93">
        <v>0</v>
      </c>
      <c r="AH86" s="93">
        <v>1.6049841295406909E-2</v>
      </c>
      <c r="AI86" s="93">
        <v>3.7172212160379761E-2</v>
      </c>
      <c r="AJ86" s="93">
        <v>0</v>
      </c>
      <c r="AK86" s="93">
        <v>4.1398266851569575E-2</v>
      </c>
      <c r="AL86" s="93">
        <v>9.4620320307356245E-2</v>
      </c>
      <c r="AM86" s="93">
        <v>6.3681219898887836E-2</v>
      </c>
      <c r="AN86" s="93">
        <v>8.1274609004430391E-3</v>
      </c>
      <c r="AO86" s="93">
        <v>0</v>
      </c>
      <c r="AP86" s="93">
        <v>0</v>
      </c>
      <c r="AQ86" s="93">
        <v>7.1808680799330879E-2</v>
      </c>
      <c r="AR86" s="93">
        <v>1.6049841295406909E-2</v>
      </c>
      <c r="AS86" s="251">
        <v>4.4741053495576217</v>
      </c>
      <c r="AT86" s="93">
        <v>6.3681219898887836E-2</v>
      </c>
      <c r="AU86" s="93">
        <v>9.6204929424426894E-3</v>
      </c>
      <c r="AV86" s="93">
        <v>0</v>
      </c>
      <c r="AW86" s="93">
        <v>0</v>
      </c>
      <c r="AX86" s="93">
        <v>7.3301712841330524E-2</v>
      </c>
      <c r="AY86" s="93">
        <v>3.7172212160379761E-2</v>
      </c>
      <c r="AZ86" s="251">
        <v>1.9719491679717578</v>
      </c>
      <c r="BA86" s="93">
        <v>6.3681219898887836E-2</v>
      </c>
      <c r="BB86" s="93">
        <v>1.774795384288573E-2</v>
      </c>
      <c r="BC86" s="93">
        <v>0</v>
      </c>
      <c r="BD86" s="93">
        <v>0</v>
      </c>
      <c r="BE86" s="93">
        <v>8.1429173741773567E-2</v>
      </c>
      <c r="BF86" s="93">
        <v>5.3222053455786678E-2</v>
      </c>
      <c r="BG86" s="93">
        <v>21.333209641168121</v>
      </c>
      <c r="BH86" s="251">
        <v>1.5299893268759253</v>
      </c>
      <c r="BI86" s="93">
        <v>9.6519610870651515</v>
      </c>
      <c r="BJ86" s="93">
        <v>22.354410781294849</v>
      </c>
      <c r="BK86" s="93">
        <v>0</v>
      </c>
      <c r="BL86" s="93">
        <v>24.895851203066886</v>
      </c>
      <c r="BM86" s="93">
        <v>56.902223071426889</v>
      </c>
      <c r="BN86" s="93">
        <v>6.3681219898887836E-2</v>
      </c>
      <c r="BO86" s="93">
        <v>0</v>
      </c>
      <c r="BP86" s="93">
        <v>1.774795384288573E-2</v>
      </c>
      <c r="BQ86" s="93">
        <v>0</v>
      </c>
      <c r="BR86" s="93">
        <v>0</v>
      </c>
      <c r="BS86" s="93">
        <v>0</v>
      </c>
      <c r="BT86" s="93">
        <v>0</v>
      </c>
      <c r="BU86" s="93">
        <v>0</v>
      </c>
      <c r="BV86" s="93">
        <v>0</v>
      </c>
      <c r="BW86" s="93">
        <v>0</v>
      </c>
      <c r="BX86" s="93">
        <v>8.2246369028920047E-2</v>
      </c>
      <c r="BY86" s="93">
        <v>1.2373951278436197E-2</v>
      </c>
      <c r="BZ86" s="93">
        <v>0</v>
      </c>
      <c r="CA86" s="93">
        <v>0</v>
      </c>
      <c r="CB86" s="93">
        <v>8.1429173741773567E-2</v>
      </c>
      <c r="CC86" s="93">
        <v>9.4620320307356245E-2</v>
      </c>
      <c r="CD86" s="252">
        <v>0.86058865027370723</v>
      </c>
      <c r="CE86" s="93">
        <v>46.229060844235001</v>
      </c>
      <c r="CF86" s="93">
        <v>1.1623930629866433E-3</v>
      </c>
      <c r="CG86" s="93">
        <v>0</v>
      </c>
      <c r="CH86" s="93">
        <v>1.1623930629866433E-3</v>
      </c>
      <c r="CI86" s="93">
        <v>5.8119103161617287E-5</v>
      </c>
      <c r="CJ86" s="93">
        <v>0</v>
      </c>
      <c r="CK86" s="93">
        <v>5.8119103161617287E-5</v>
      </c>
      <c r="CL86" s="93"/>
      <c r="CM86" s="93">
        <v>0</v>
      </c>
      <c r="CN86" s="93"/>
      <c r="CO86" s="93">
        <v>0</v>
      </c>
      <c r="CP86" s="93">
        <v>0</v>
      </c>
      <c r="CQ86" s="93">
        <v>0</v>
      </c>
      <c r="CR86" s="93">
        <v>0</v>
      </c>
      <c r="CS86" s="93">
        <v>0</v>
      </c>
      <c r="CT86" s="93">
        <v>0</v>
      </c>
      <c r="CU86" s="93">
        <v>0</v>
      </c>
      <c r="CV86" s="93">
        <v>9999</v>
      </c>
      <c r="CW86" s="251">
        <v>9999</v>
      </c>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row>
    <row r="87" spans="1:131">
      <c r="A87" s="71" t="s">
        <v>500</v>
      </c>
      <c r="B87" s="71"/>
      <c r="C87" s="93">
        <v>15</v>
      </c>
      <c r="D87" s="93">
        <v>0.11384121765439638</v>
      </c>
      <c r="E87" s="93">
        <v>0</v>
      </c>
      <c r="F87" s="93">
        <v>6.186975639218098E-2</v>
      </c>
      <c r="G87" s="93">
        <v>0</v>
      </c>
      <c r="H87" s="93">
        <v>0</v>
      </c>
      <c r="I87" s="93"/>
      <c r="J87" s="93"/>
      <c r="K87" s="93"/>
      <c r="L87" s="93">
        <v>0.122195039062654</v>
      </c>
      <c r="M87" s="93">
        <v>1.4817660497524398E-5</v>
      </c>
      <c r="N87" s="93">
        <v>1.471071326893796E-5</v>
      </c>
      <c r="O87" s="93">
        <v>0</v>
      </c>
      <c r="P87" s="93">
        <v>0</v>
      </c>
      <c r="Q87" s="93">
        <v>0</v>
      </c>
      <c r="R87" s="93">
        <v>1.233765591187605E-2</v>
      </c>
      <c r="S87" s="93">
        <v>2.8510446265474425E-2</v>
      </c>
      <c r="T87" s="93">
        <v>0</v>
      </c>
      <c r="U87" s="93">
        <v>4.1398266851569575E-2</v>
      </c>
      <c r="V87" s="93">
        <v>3.7121853835308588E-3</v>
      </c>
      <c r="W87" s="93">
        <v>8.6617658949053374E-3</v>
      </c>
      <c r="X87" s="93">
        <v>0</v>
      </c>
      <c r="Y87" s="93">
        <v>0</v>
      </c>
      <c r="Z87" s="93">
        <v>0</v>
      </c>
      <c r="AA87" s="93">
        <v>0</v>
      </c>
      <c r="AB87" s="93">
        <v>0</v>
      </c>
      <c r="AC87" s="93">
        <v>0</v>
      </c>
      <c r="AD87" s="93">
        <v>0</v>
      </c>
      <c r="AE87" s="93">
        <v>0</v>
      </c>
      <c r="AF87" s="93">
        <v>0</v>
      </c>
      <c r="AG87" s="93">
        <v>0</v>
      </c>
      <c r="AH87" s="93">
        <v>1.6049841295406909E-2</v>
      </c>
      <c r="AI87" s="93">
        <v>3.7172212160379761E-2</v>
      </c>
      <c r="AJ87" s="93">
        <v>0</v>
      </c>
      <c r="AK87" s="93">
        <v>4.1398266851569575E-2</v>
      </c>
      <c r="AL87" s="93">
        <v>9.4620320307356245E-2</v>
      </c>
      <c r="AM87" s="93">
        <v>6.1611653896753896E-2</v>
      </c>
      <c r="AN87" s="93">
        <v>5.2357978875876123E-3</v>
      </c>
      <c r="AO87" s="93">
        <v>0</v>
      </c>
      <c r="AP87" s="93">
        <v>0</v>
      </c>
      <c r="AQ87" s="93">
        <v>6.6847451784341511E-2</v>
      </c>
      <c r="AR87" s="93">
        <v>1.6049841295406909E-2</v>
      </c>
      <c r="AS87" s="251">
        <v>4.1649914509417423</v>
      </c>
      <c r="AT87" s="93">
        <v>6.1611653896753896E-2</v>
      </c>
      <c r="AU87" s="93">
        <v>6.1976252168555093E-3</v>
      </c>
      <c r="AV87" s="93">
        <v>0</v>
      </c>
      <c r="AW87" s="93">
        <v>0</v>
      </c>
      <c r="AX87" s="93">
        <v>6.78092791136094E-2</v>
      </c>
      <c r="AY87" s="93">
        <v>3.7172212160379761E-2</v>
      </c>
      <c r="AZ87" s="251">
        <v>1.8241927281875452</v>
      </c>
      <c r="BA87" s="93">
        <v>6.1611653896753896E-2</v>
      </c>
      <c r="BB87" s="93">
        <v>1.1433423104443122E-2</v>
      </c>
      <c r="BC87" s="93">
        <v>0</v>
      </c>
      <c r="BD87" s="93">
        <v>0</v>
      </c>
      <c r="BE87" s="93">
        <v>7.3045077001197015E-2</v>
      </c>
      <c r="BF87" s="93">
        <v>5.3222053455786678E-2</v>
      </c>
      <c r="BG87" s="93">
        <v>25.163710316515516</v>
      </c>
      <c r="BH87" s="251">
        <v>1.3724588259616473</v>
      </c>
      <c r="BI87" s="93">
        <v>9.6646756208099216</v>
      </c>
      <c r="BJ87" s="93">
        <v>22.383858259134779</v>
      </c>
      <c r="BK87" s="93">
        <v>0</v>
      </c>
      <c r="BL87" s="93">
        <v>24.928646521797539</v>
      </c>
      <c r="BM87" s="93">
        <v>56.977180401742245</v>
      </c>
      <c r="BN87" s="93">
        <v>6.1611653896753896E-2</v>
      </c>
      <c r="BO87" s="93">
        <v>0</v>
      </c>
      <c r="BP87" s="93">
        <v>1.1433423104443122E-2</v>
      </c>
      <c r="BQ87" s="93">
        <v>0</v>
      </c>
      <c r="BR87" s="93">
        <v>0</v>
      </c>
      <c r="BS87" s="93">
        <v>0</v>
      </c>
      <c r="BT87" s="93">
        <v>0</v>
      </c>
      <c r="BU87" s="93">
        <v>0</v>
      </c>
      <c r="BV87" s="93">
        <v>0</v>
      </c>
      <c r="BW87" s="93">
        <v>0</v>
      </c>
      <c r="BX87" s="93">
        <v>8.2246369028920047E-2</v>
      </c>
      <c r="BY87" s="93">
        <v>1.2373951278436197E-2</v>
      </c>
      <c r="BZ87" s="93">
        <v>0</v>
      </c>
      <c r="CA87" s="93">
        <v>0</v>
      </c>
      <c r="CB87" s="93">
        <v>7.3045077001197015E-2</v>
      </c>
      <c r="CC87" s="93">
        <v>9.4620320307356245E-2</v>
      </c>
      <c r="CD87" s="252">
        <v>0.77198086799879639</v>
      </c>
      <c r="CE87" s="93">
        <v>50.092356838313059</v>
      </c>
      <c r="CF87" s="93">
        <v>1.1608639707974633E-3</v>
      </c>
      <c r="CG87" s="93">
        <v>0</v>
      </c>
      <c r="CH87" s="93">
        <v>1.1608639707974633E-3</v>
      </c>
      <c r="CI87" s="93">
        <v>5.8042643554760641E-5</v>
      </c>
      <c r="CJ87" s="93">
        <v>0</v>
      </c>
      <c r="CK87" s="93">
        <v>5.8042643554760641E-5</v>
      </c>
      <c r="CL87" s="93"/>
      <c r="CM87" s="93">
        <v>0</v>
      </c>
      <c r="CN87" s="93"/>
      <c r="CO87" s="93">
        <v>0</v>
      </c>
      <c r="CP87" s="93">
        <v>0</v>
      </c>
      <c r="CQ87" s="93">
        <v>0</v>
      </c>
      <c r="CR87" s="93">
        <v>0</v>
      </c>
      <c r="CS87" s="93">
        <v>0</v>
      </c>
      <c r="CT87" s="93">
        <v>0</v>
      </c>
      <c r="CU87" s="93">
        <v>0</v>
      </c>
      <c r="CV87" s="93">
        <v>9999</v>
      </c>
      <c r="CW87" s="251">
        <v>9999</v>
      </c>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row>
    <row r="88" spans="1:131">
      <c r="A88" s="71" t="s">
        <v>504</v>
      </c>
      <c r="B88" s="71"/>
      <c r="C88" s="93">
        <v>15</v>
      </c>
      <c r="D88" s="93">
        <v>0.26506590770984895</v>
      </c>
      <c r="E88" s="93">
        <v>0</v>
      </c>
      <c r="F88" s="93">
        <v>0.19999195139965231</v>
      </c>
      <c r="G88" s="93">
        <v>0</v>
      </c>
      <c r="H88" s="93">
        <v>0</v>
      </c>
      <c r="I88" s="93"/>
      <c r="J88" s="93"/>
      <c r="K88" s="93"/>
      <c r="L88" s="93">
        <v>0.2848915940665197</v>
      </c>
      <c r="M88" s="93">
        <v>5.3555736501840944E-5</v>
      </c>
      <c r="N88" s="93">
        <v>5.3169195212496753E-5</v>
      </c>
      <c r="O88" s="93">
        <v>0</v>
      </c>
      <c r="P88" s="93">
        <v>0</v>
      </c>
      <c r="Q88" s="93">
        <v>0</v>
      </c>
      <c r="R88" s="93">
        <v>3.9881066702007875E-2</v>
      </c>
      <c r="S88" s="93">
        <v>9.2159079272336589E-2</v>
      </c>
      <c r="T88" s="93">
        <v>0</v>
      </c>
      <c r="U88" s="93">
        <v>0.13381853517779924</v>
      </c>
      <c r="V88" s="93">
        <v>1.1999517083979139E-2</v>
      </c>
      <c r="W88" s="93">
        <v>2.7998873195951325E-2</v>
      </c>
      <c r="X88" s="93">
        <v>0</v>
      </c>
      <c r="Y88" s="93">
        <v>0</v>
      </c>
      <c r="Z88" s="93">
        <v>0</v>
      </c>
      <c r="AA88" s="93">
        <v>0</v>
      </c>
      <c r="AB88" s="93">
        <v>0</v>
      </c>
      <c r="AC88" s="93">
        <v>0</v>
      </c>
      <c r="AD88" s="93">
        <v>0</v>
      </c>
      <c r="AE88" s="93">
        <v>0</v>
      </c>
      <c r="AF88" s="93">
        <v>0</v>
      </c>
      <c r="AG88" s="93">
        <v>0</v>
      </c>
      <c r="AH88" s="93">
        <v>5.1880583785987013E-2</v>
      </c>
      <c r="AI88" s="93">
        <v>0.12015795246828792</v>
      </c>
      <c r="AJ88" s="93">
        <v>0</v>
      </c>
      <c r="AK88" s="93">
        <v>0.13381853517779924</v>
      </c>
      <c r="AL88" s="93">
        <v>0.30585707143207419</v>
      </c>
      <c r="AM88" s="93">
        <v>0.14827424288286617</v>
      </c>
      <c r="AN88" s="93">
        <v>1.8923838354333027E-2</v>
      </c>
      <c r="AO88" s="93">
        <v>0</v>
      </c>
      <c r="AP88" s="93">
        <v>0</v>
      </c>
      <c r="AQ88" s="93">
        <v>0.1671980812371992</v>
      </c>
      <c r="AR88" s="93">
        <v>5.1880583785987013E-2</v>
      </c>
      <c r="AS88" s="251">
        <v>3.2227486476811684</v>
      </c>
      <c r="AT88" s="93">
        <v>0.14827424288286617</v>
      </c>
      <c r="AU88" s="93">
        <v>2.2400188147550855E-2</v>
      </c>
      <c r="AV88" s="93">
        <v>0</v>
      </c>
      <c r="AW88" s="93">
        <v>0</v>
      </c>
      <c r="AX88" s="93">
        <v>0.17067443103041702</v>
      </c>
      <c r="AY88" s="93">
        <v>0.12015795246828792</v>
      </c>
      <c r="AZ88" s="251">
        <v>1.4204172718028081</v>
      </c>
      <c r="BA88" s="93">
        <v>0.14827424288286617</v>
      </c>
      <c r="BB88" s="93">
        <v>4.1324026501883881E-2</v>
      </c>
      <c r="BC88" s="93">
        <v>0</v>
      </c>
      <c r="BD88" s="93">
        <v>0</v>
      </c>
      <c r="BE88" s="93">
        <v>0.18959826938475005</v>
      </c>
      <c r="BF88" s="93">
        <v>0.17203853625427493</v>
      </c>
      <c r="BG88" s="93">
        <v>33.760920368481607</v>
      </c>
      <c r="BH88" s="251">
        <v>1.1020686034233729</v>
      </c>
      <c r="BI88" s="93">
        <v>13.39970796805139</v>
      </c>
      <c r="BJ88" s="93">
        <v>31.034374627622096</v>
      </c>
      <c r="BK88" s="93">
        <v>0</v>
      </c>
      <c r="BL88" s="93">
        <v>34.562627504188711</v>
      </c>
      <c r="BM88" s="93">
        <v>78.996710099862199</v>
      </c>
      <c r="BN88" s="93">
        <v>0.14827424288286617</v>
      </c>
      <c r="BO88" s="93">
        <v>0</v>
      </c>
      <c r="BP88" s="93">
        <v>4.1324026501883881E-2</v>
      </c>
      <c r="BQ88" s="93">
        <v>0</v>
      </c>
      <c r="BR88" s="93">
        <v>0</v>
      </c>
      <c r="BS88" s="93">
        <v>0</v>
      </c>
      <c r="BT88" s="93">
        <v>0</v>
      </c>
      <c r="BU88" s="93">
        <v>0</v>
      </c>
      <c r="BV88" s="93">
        <v>0</v>
      </c>
      <c r="BW88" s="93">
        <v>0</v>
      </c>
      <c r="BX88" s="93">
        <v>0.26585868115214373</v>
      </c>
      <c r="BY88" s="93">
        <v>3.9998390279930462E-2</v>
      </c>
      <c r="BZ88" s="93">
        <v>0</v>
      </c>
      <c r="CA88" s="93">
        <v>0</v>
      </c>
      <c r="CB88" s="93">
        <v>0.18959826938475005</v>
      </c>
      <c r="CC88" s="93">
        <v>0.30585707143207419</v>
      </c>
      <c r="CD88" s="252">
        <v>0.61989173079117998</v>
      </c>
      <c r="CE88" s="93">
        <v>68.323547872670318</v>
      </c>
      <c r="CF88" s="93">
        <v>2.7064957552681954E-3</v>
      </c>
      <c r="CG88" s="93">
        <v>0</v>
      </c>
      <c r="CH88" s="93">
        <v>2.7064957552681954E-3</v>
      </c>
      <c r="CI88" s="93">
        <v>1.3532350718159687E-4</v>
      </c>
      <c r="CJ88" s="93">
        <v>0</v>
      </c>
      <c r="CK88" s="93">
        <v>1.3532350718159687E-4</v>
      </c>
      <c r="CL88" s="93"/>
      <c r="CM88" s="93">
        <v>0</v>
      </c>
      <c r="CN88" s="93"/>
      <c r="CO88" s="93">
        <v>0</v>
      </c>
      <c r="CP88" s="93">
        <v>0</v>
      </c>
      <c r="CQ88" s="93">
        <v>0</v>
      </c>
      <c r="CR88" s="93">
        <v>0</v>
      </c>
      <c r="CS88" s="93">
        <v>0</v>
      </c>
      <c r="CT88" s="93">
        <v>0</v>
      </c>
      <c r="CU88" s="93">
        <v>0</v>
      </c>
      <c r="CV88" s="93">
        <v>9999</v>
      </c>
      <c r="CW88" s="251">
        <v>9999</v>
      </c>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row>
    <row r="89" spans="1:131">
      <c r="A89" s="71" t="s">
        <v>502</v>
      </c>
      <c r="B89" s="71"/>
      <c r="C89" s="93">
        <v>15</v>
      </c>
      <c r="D89" s="93">
        <v>0.11506921726474252</v>
      </c>
      <c r="E89" s="93">
        <v>0</v>
      </c>
      <c r="F89" s="93">
        <v>8.6958816167838432E-2</v>
      </c>
      <c r="G89" s="93">
        <v>0</v>
      </c>
      <c r="H89" s="93">
        <v>0</v>
      </c>
      <c r="I89" s="93"/>
      <c r="J89" s="93"/>
      <c r="K89" s="93"/>
      <c r="L89" s="93">
        <v>0.12367585487615354</v>
      </c>
      <c r="M89" s="93">
        <v>2.324937496695904E-5</v>
      </c>
      <c r="N89" s="93">
        <v>2.3081571404480425E-5</v>
      </c>
      <c r="O89" s="93">
        <v>0</v>
      </c>
      <c r="P89" s="93">
        <v>0</v>
      </c>
      <c r="Q89" s="93">
        <v>0</v>
      </c>
      <c r="R89" s="93">
        <v>1.7340749583401656E-2</v>
      </c>
      <c r="S89" s="93">
        <v>4.0071834774118312E-2</v>
      </c>
      <c r="T89" s="93">
        <v>0</v>
      </c>
      <c r="U89" s="93">
        <v>5.8185848575083687E-2</v>
      </c>
      <c r="V89" s="93">
        <v>5.2175289700703061E-3</v>
      </c>
      <c r="W89" s="93">
        <v>1.2174234263497381E-2</v>
      </c>
      <c r="X89" s="93">
        <v>0</v>
      </c>
      <c r="Y89" s="93">
        <v>0</v>
      </c>
      <c r="Z89" s="93">
        <v>0</v>
      </c>
      <c r="AA89" s="93">
        <v>0</v>
      </c>
      <c r="AB89" s="93">
        <v>0</v>
      </c>
      <c r="AC89" s="93">
        <v>0</v>
      </c>
      <c r="AD89" s="93">
        <v>0</v>
      </c>
      <c r="AE89" s="93">
        <v>0</v>
      </c>
      <c r="AF89" s="93">
        <v>0</v>
      </c>
      <c r="AG89" s="93">
        <v>0</v>
      </c>
      <c r="AH89" s="93">
        <v>2.2558278553471964E-2</v>
      </c>
      <c r="AI89" s="93">
        <v>5.2246069037615694E-2</v>
      </c>
      <c r="AJ89" s="93">
        <v>0</v>
      </c>
      <c r="AK89" s="93">
        <v>5.8185848575083687E-2</v>
      </c>
      <c r="AL89" s="93">
        <v>0.13299019616617136</v>
      </c>
      <c r="AM89" s="93">
        <v>6.436814608286108E-2</v>
      </c>
      <c r="AN89" s="93">
        <v>8.2151314210548859E-3</v>
      </c>
      <c r="AO89" s="93">
        <v>0</v>
      </c>
      <c r="AP89" s="93">
        <v>0</v>
      </c>
      <c r="AQ89" s="93">
        <v>7.2583277503915966E-2</v>
      </c>
      <c r="AR89" s="93">
        <v>2.2558278553471964E-2</v>
      </c>
      <c r="AS89" s="251">
        <v>3.2175893799637745</v>
      </c>
      <c r="AT89" s="93">
        <v>6.436814608286108E-2</v>
      </c>
      <c r="AU89" s="93">
        <v>9.7242687261884526E-3</v>
      </c>
      <c r="AV89" s="93">
        <v>0</v>
      </c>
      <c r="AW89" s="93">
        <v>0</v>
      </c>
      <c r="AX89" s="93">
        <v>7.4092414809049531E-2</v>
      </c>
      <c r="AY89" s="93">
        <v>5.2246069037615694E-2</v>
      </c>
      <c r="AZ89" s="251">
        <v>1.418143339276015</v>
      </c>
      <c r="BA89" s="93">
        <v>6.436814608286108E-2</v>
      </c>
      <c r="BB89" s="93">
        <v>1.7939400147243337E-2</v>
      </c>
      <c r="BC89" s="93">
        <v>0</v>
      </c>
      <c r="BD89" s="93">
        <v>0</v>
      </c>
      <c r="BE89" s="93">
        <v>8.2307546230104417E-2</v>
      </c>
      <c r="BF89" s="93">
        <v>7.4804347591087658E-2</v>
      </c>
      <c r="BG89" s="93">
        <v>33.832168530013789</v>
      </c>
      <c r="BH89" s="251">
        <v>1.1003043122577905</v>
      </c>
      <c r="BI89" s="93">
        <v>13.421193829849845</v>
      </c>
      <c r="BJ89" s="93">
        <v>31.084136927355825</v>
      </c>
      <c r="BK89" s="93">
        <v>0</v>
      </c>
      <c r="BL89" s="93">
        <v>34.618047207343217</v>
      </c>
      <c r="BM89" s="93">
        <v>79.123377964548894</v>
      </c>
      <c r="BN89" s="93">
        <v>6.436814608286108E-2</v>
      </c>
      <c r="BO89" s="93">
        <v>0</v>
      </c>
      <c r="BP89" s="93">
        <v>1.7939400147243337E-2</v>
      </c>
      <c r="BQ89" s="93">
        <v>0</v>
      </c>
      <c r="BR89" s="93">
        <v>0</v>
      </c>
      <c r="BS89" s="93">
        <v>0</v>
      </c>
      <c r="BT89" s="93">
        <v>0</v>
      </c>
      <c r="BU89" s="93">
        <v>0</v>
      </c>
      <c r="BV89" s="93">
        <v>0</v>
      </c>
      <c r="BW89" s="93">
        <v>0</v>
      </c>
      <c r="BX89" s="93">
        <v>0.11559843293260366</v>
      </c>
      <c r="BY89" s="93">
        <v>1.7391763233567687E-2</v>
      </c>
      <c r="BZ89" s="93">
        <v>0</v>
      </c>
      <c r="CA89" s="93">
        <v>0</v>
      </c>
      <c r="CB89" s="93">
        <v>8.2307546230104417E-2</v>
      </c>
      <c r="CC89" s="93">
        <v>0.13299019616617136</v>
      </c>
      <c r="CD89" s="252">
        <v>0.6188993520038204</v>
      </c>
      <c r="CE89" s="93">
        <v>68.450215737357013</v>
      </c>
      <c r="CF89" s="93">
        <v>1.1749317397315648E-3</v>
      </c>
      <c r="CG89" s="93">
        <v>0</v>
      </c>
      <c r="CH89" s="93">
        <v>1.1749317397315648E-3</v>
      </c>
      <c r="CI89" s="93">
        <v>5.8746031066172932E-5</v>
      </c>
      <c r="CJ89" s="93">
        <v>0</v>
      </c>
      <c r="CK89" s="93">
        <v>5.8746031066172932E-5</v>
      </c>
      <c r="CL89" s="93"/>
      <c r="CM89" s="93">
        <v>0</v>
      </c>
      <c r="CN89" s="93"/>
      <c r="CO89" s="93">
        <v>0</v>
      </c>
      <c r="CP89" s="93">
        <v>0</v>
      </c>
      <c r="CQ89" s="93">
        <v>0</v>
      </c>
      <c r="CR89" s="93">
        <v>0</v>
      </c>
      <c r="CS89" s="93">
        <v>0</v>
      </c>
      <c r="CT89" s="93">
        <v>0</v>
      </c>
      <c r="CU89" s="93">
        <v>0</v>
      </c>
      <c r="CV89" s="93">
        <v>9999</v>
      </c>
      <c r="CW89" s="251">
        <v>9999</v>
      </c>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row>
    <row r="90" spans="1:131">
      <c r="A90" s="71" t="s">
        <v>493</v>
      </c>
      <c r="B90" s="71"/>
      <c r="C90" s="93">
        <v>15</v>
      </c>
      <c r="D90" s="93">
        <v>2.6514568417845316E-2</v>
      </c>
      <c r="E90" s="93">
        <v>0</v>
      </c>
      <c r="F90" s="93">
        <v>2.1088272602037467E-2</v>
      </c>
      <c r="G90" s="93">
        <v>0</v>
      </c>
      <c r="H90" s="93">
        <v>0</v>
      </c>
      <c r="I90" s="93"/>
      <c r="J90" s="93"/>
      <c r="K90" s="93"/>
      <c r="L90" s="93">
        <v>2.8497733744070924E-2</v>
      </c>
      <c r="M90" s="93">
        <v>5.3571855087473207E-6</v>
      </c>
      <c r="N90" s="93">
        <v>5.3185197461406196E-6</v>
      </c>
      <c r="O90" s="93">
        <v>0</v>
      </c>
      <c r="P90" s="93">
        <v>0</v>
      </c>
      <c r="Q90" s="93">
        <v>0</v>
      </c>
      <c r="R90" s="93">
        <v>4.2052832645816341E-3</v>
      </c>
      <c r="S90" s="93">
        <v>9.7177700044742566E-3</v>
      </c>
      <c r="T90" s="93">
        <v>0</v>
      </c>
      <c r="U90" s="93">
        <v>1.4110576597132385E-2</v>
      </c>
      <c r="V90" s="93">
        <v>1.265296356122248E-3</v>
      </c>
      <c r="W90" s="93">
        <v>2.9523581642852451E-3</v>
      </c>
      <c r="X90" s="93">
        <v>0</v>
      </c>
      <c r="Y90" s="93">
        <v>0</v>
      </c>
      <c r="Z90" s="93">
        <v>0</v>
      </c>
      <c r="AA90" s="93">
        <v>0</v>
      </c>
      <c r="AB90" s="93">
        <v>0</v>
      </c>
      <c r="AC90" s="93">
        <v>0</v>
      </c>
      <c r="AD90" s="93">
        <v>0</v>
      </c>
      <c r="AE90" s="93">
        <v>0</v>
      </c>
      <c r="AF90" s="93">
        <v>0</v>
      </c>
      <c r="AG90" s="93">
        <v>0</v>
      </c>
      <c r="AH90" s="93">
        <v>5.4705796207038821E-3</v>
      </c>
      <c r="AI90" s="93">
        <v>1.2670128168759502E-2</v>
      </c>
      <c r="AJ90" s="93">
        <v>0</v>
      </c>
      <c r="AK90" s="93">
        <v>1.4110576597132385E-2</v>
      </c>
      <c r="AL90" s="93">
        <v>3.2251284386595767E-2</v>
      </c>
      <c r="AM90" s="93">
        <v>1.4831886874812487E-2</v>
      </c>
      <c r="AN90" s="93">
        <v>1.8929533832146028E-3</v>
      </c>
      <c r="AO90" s="93">
        <v>0</v>
      </c>
      <c r="AP90" s="93">
        <v>0</v>
      </c>
      <c r="AQ90" s="93">
        <v>1.6724840258027091E-2</v>
      </c>
      <c r="AR90" s="93">
        <v>5.4705796207038821E-3</v>
      </c>
      <c r="AS90" s="251">
        <v>3.0572336786271213</v>
      </c>
      <c r="AT90" s="93">
        <v>1.4831886874812487E-2</v>
      </c>
      <c r="AU90" s="93">
        <v>2.2406929896883767E-3</v>
      </c>
      <c r="AV90" s="93">
        <v>0</v>
      </c>
      <c r="AW90" s="93">
        <v>0</v>
      </c>
      <c r="AX90" s="93">
        <v>1.7072579864500864E-2</v>
      </c>
      <c r="AY90" s="93">
        <v>1.2670128168759502E-2</v>
      </c>
      <c r="AZ90" s="251">
        <v>1.3474670214147009</v>
      </c>
      <c r="BA90" s="93">
        <v>1.4831886874812487E-2</v>
      </c>
      <c r="BB90" s="93">
        <v>4.1336463729029797E-3</v>
      </c>
      <c r="BC90" s="93">
        <v>0</v>
      </c>
      <c r="BD90" s="93">
        <v>0</v>
      </c>
      <c r="BE90" s="93">
        <v>1.8965533247715466E-2</v>
      </c>
      <c r="BF90" s="93">
        <v>1.8140707789463383E-2</v>
      </c>
      <c r="BG90" s="93">
        <v>36.166528371946491</v>
      </c>
      <c r="BH90" s="251">
        <v>1.0454682070746526</v>
      </c>
      <c r="BI90" s="93">
        <v>14.125152105727258</v>
      </c>
      <c r="BJ90" s="93">
        <v>32.714538493411119</v>
      </c>
      <c r="BK90" s="93">
        <v>0</v>
      </c>
      <c r="BL90" s="93">
        <v>36.433806754167151</v>
      </c>
      <c r="BM90" s="93">
        <v>83.27349735330553</v>
      </c>
      <c r="BN90" s="93">
        <v>1.4831886874812487E-2</v>
      </c>
      <c r="BO90" s="93">
        <v>0</v>
      </c>
      <c r="BP90" s="93">
        <v>4.1336463729029797E-3</v>
      </c>
      <c r="BQ90" s="93">
        <v>0</v>
      </c>
      <c r="BR90" s="93">
        <v>0</v>
      </c>
      <c r="BS90" s="93">
        <v>0</v>
      </c>
      <c r="BT90" s="93">
        <v>0</v>
      </c>
      <c r="BU90" s="93">
        <v>0</v>
      </c>
      <c r="BV90" s="93">
        <v>0</v>
      </c>
      <c r="BW90" s="93">
        <v>0</v>
      </c>
      <c r="BX90" s="93">
        <v>2.8033629866188275E-2</v>
      </c>
      <c r="BY90" s="93">
        <v>4.2176545204074935E-3</v>
      </c>
      <c r="BZ90" s="93">
        <v>0</v>
      </c>
      <c r="CA90" s="93">
        <v>0</v>
      </c>
      <c r="CB90" s="93">
        <v>1.8965533247715466E-2</v>
      </c>
      <c r="CC90" s="93">
        <v>3.2251284386595767E-2</v>
      </c>
      <c r="CD90" s="252">
        <v>0.58805513046785496</v>
      </c>
      <c r="CE90" s="93">
        <v>72.600335126113649</v>
      </c>
      <c r="CF90" s="93">
        <v>2.7073103250312863E-4</v>
      </c>
      <c r="CG90" s="93">
        <v>0</v>
      </c>
      <c r="CH90" s="93">
        <v>2.7073103250312863E-4</v>
      </c>
      <c r="CI90" s="93">
        <v>1.3536423528433687E-5</v>
      </c>
      <c r="CJ90" s="93">
        <v>0</v>
      </c>
      <c r="CK90" s="93">
        <v>1.3536423528433687E-5</v>
      </c>
      <c r="CL90" s="93"/>
      <c r="CM90" s="93">
        <v>0</v>
      </c>
      <c r="CN90" s="93"/>
      <c r="CO90" s="93">
        <v>0</v>
      </c>
      <c r="CP90" s="93">
        <v>0</v>
      </c>
      <c r="CQ90" s="93">
        <v>0</v>
      </c>
      <c r="CR90" s="93">
        <v>0</v>
      </c>
      <c r="CS90" s="93">
        <v>0</v>
      </c>
      <c r="CT90" s="93">
        <v>0</v>
      </c>
      <c r="CU90" s="93">
        <v>0</v>
      </c>
      <c r="CV90" s="93">
        <v>9999</v>
      </c>
      <c r="CW90" s="251">
        <v>9999</v>
      </c>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row>
    <row r="91" spans="1:131">
      <c r="A91" s="71" t="s">
        <v>505</v>
      </c>
      <c r="B91" s="71"/>
      <c r="C91" s="93">
        <v>15</v>
      </c>
      <c r="D91" s="93">
        <v>4.6477344354489553E-2</v>
      </c>
      <c r="E91" s="93">
        <v>0</v>
      </c>
      <c r="F91" s="93">
        <v>3.7784319235833738E-2</v>
      </c>
      <c r="G91" s="93">
        <v>0</v>
      </c>
      <c r="H91" s="93">
        <v>0</v>
      </c>
      <c r="I91" s="93"/>
      <c r="J91" s="93"/>
      <c r="K91" s="93"/>
      <c r="L91" s="93">
        <v>4.9953631666669059E-2</v>
      </c>
      <c r="M91" s="93">
        <v>9.3906018660048138E-6</v>
      </c>
      <c r="N91" s="93">
        <v>9.3228247128910911E-6</v>
      </c>
      <c r="O91" s="93">
        <v>0</v>
      </c>
      <c r="P91" s="93">
        <v>0</v>
      </c>
      <c r="Q91" s="93">
        <v>0</v>
      </c>
      <c r="R91" s="93">
        <v>7.5346979975358351E-3</v>
      </c>
      <c r="S91" s="93">
        <v>1.7411541051209161E-2</v>
      </c>
      <c r="T91" s="93">
        <v>0</v>
      </c>
      <c r="U91" s="93">
        <v>2.5282228696921476E-2</v>
      </c>
      <c r="V91" s="93">
        <v>2.2670591541500244E-3</v>
      </c>
      <c r="W91" s="93">
        <v>5.2898046930167234E-3</v>
      </c>
      <c r="X91" s="93">
        <v>0</v>
      </c>
      <c r="Y91" s="93">
        <v>0</v>
      </c>
      <c r="Z91" s="93">
        <v>0</v>
      </c>
      <c r="AA91" s="93">
        <v>0</v>
      </c>
      <c r="AB91" s="93">
        <v>0</v>
      </c>
      <c r="AC91" s="93">
        <v>0</v>
      </c>
      <c r="AD91" s="93">
        <v>0</v>
      </c>
      <c r="AE91" s="93">
        <v>0</v>
      </c>
      <c r="AF91" s="93">
        <v>0</v>
      </c>
      <c r="AG91" s="93">
        <v>0</v>
      </c>
      <c r="AH91" s="93">
        <v>9.8017571516858595E-3</v>
      </c>
      <c r="AI91" s="93">
        <v>2.2701345744225884E-2</v>
      </c>
      <c r="AJ91" s="93">
        <v>0</v>
      </c>
      <c r="AK91" s="93">
        <v>2.5282228696921476E-2</v>
      </c>
      <c r="AL91" s="93">
        <v>5.7785331592833222E-2</v>
      </c>
      <c r="AM91" s="93">
        <v>2.5998790658932139E-2</v>
      </c>
      <c r="AN91" s="93">
        <v>3.3181549423013657E-3</v>
      </c>
      <c r="AO91" s="93">
        <v>0</v>
      </c>
      <c r="AP91" s="93">
        <v>0</v>
      </c>
      <c r="AQ91" s="93">
        <v>2.9316945601233504E-2</v>
      </c>
      <c r="AR91" s="93">
        <v>9.8017571516858595E-3</v>
      </c>
      <c r="AS91" s="251">
        <v>2.9909887734967109</v>
      </c>
      <c r="AT91" s="93">
        <v>2.5998790658932139E-2</v>
      </c>
      <c r="AU91" s="93">
        <v>3.9277071394587058E-3</v>
      </c>
      <c r="AV91" s="93">
        <v>0</v>
      </c>
      <c r="AW91" s="93">
        <v>0</v>
      </c>
      <c r="AX91" s="93">
        <v>2.9926497798390843E-2</v>
      </c>
      <c r="AY91" s="93">
        <v>2.2701345744225884E-2</v>
      </c>
      <c r="AZ91" s="251">
        <v>1.3182697684784914</v>
      </c>
      <c r="BA91" s="93">
        <v>2.5998790658932139E-2</v>
      </c>
      <c r="BB91" s="93">
        <v>7.2458620817600714E-3</v>
      </c>
      <c r="BC91" s="93">
        <v>0</v>
      </c>
      <c r="BD91" s="93">
        <v>0</v>
      </c>
      <c r="BE91" s="93">
        <v>3.3244652740692208E-2</v>
      </c>
      <c r="BF91" s="93">
        <v>3.2503102895911747E-2</v>
      </c>
      <c r="BG91" s="93">
        <v>37.203941446703766</v>
      </c>
      <c r="BH91" s="251">
        <v>1.0228147400928216</v>
      </c>
      <c r="BI91" s="93">
        <v>14.437998268671086</v>
      </c>
      <c r="BJ91" s="93">
        <v>33.439105405224552</v>
      </c>
      <c r="BK91" s="93">
        <v>0</v>
      </c>
      <c r="BL91" s="93">
        <v>37.240748623476769</v>
      </c>
      <c r="BM91" s="93">
        <v>85.117852297372423</v>
      </c>
      <c r="BN91" s="93">
        <v>2.5998790658932139E-2</v>
      </c>
      <c r="BO91" s="93">
        <v>0</v>
      </c>
      <c r="BP91" s="93">
        <v>7.2458620817600714E-3</v>
      </c>
      <c r="BQ91" s="93">
        <v>0</v>
      </c>
      <c r="BR91" s="93">
        <v>0</v>
      </c>
      <c r="BS91" s="93">
        <v>0</v>
      </c>
      <c r="BT91" s="93">
        <v>0</v>
      </c>
      <c r="BU91" s="93">
        <v>0</v>
      </c>
      <c r="BV91" s="93">
        <v>0</v>
      </c>
      <c r="BW91" s="93">
        <v>0</v>
      </c>
      <c r="BX91" s="93">
        <v>5.0228467745666472E-2</v>
      </c>
      <c r="BY91" s="93">
        <v>7.5568638471667478E-3</v>
      </c>
      <c r="BZ91" s="93">
        <v>0</v>
      </c>
      <c r="CA91" s="93">
        <v>0</v>
      </c>
      <c r="CB91" s="93">
        <v>3.3244652740692208E-2</v>
      </c>
      <c r="CC91" s="93">
        <v>5.7785331592833222E-2</v>
      </c>
      <c r="CD91" s="252">
        <v>0.57531300460366919</v>
      </c>
      <c r="CE91" s="93">
        <v>74.444690070180542</v>
      </c>
      <c r="CF91" s="93">
        <v>4.7456399164414294E-4</v>
      </c>
      <c r="CG91" s="93">
        <v>0</v>
      </c>
      <c r="CH91" s="93">
        <v>4.7456399164414294E-4</v>
      </c>
      <c r="CI91" s="93">
        <v>2.3727975041667799E-5</v>
      </c>
      <c r="CJ91" s="93">
        <v>0</v>
      </c>
      <c r="CK91" s="93">
        <v>2.3727975041667799E-5</v>
      </c>
      <c r="CL91" s="93"/>
      <c r="CM91" s="93">
        <v>0</v>
      </c>
      <c r="CN91" s="93"/>
      <c r="CO91" s="93">
        <v>0</v>
      </c>
      <c r="CP91" s="93">
        <v>0</v>
      </c>
      <c r="CQ91" s="93">
        <v>0</v>
      </c>
      <c r="CR91" s="93">
        <v>0</v>
      </c>
      <c r="CS91" s="93">
        <v>0</v>
      </c>
      <c r="CT91" s="93">
        <v>0</v>
      </c>
      <c r="CU91" s="93">
        <v>0</v>
      </c>
      <c r="CV91" s="93">
        <v>9999</v>
      </c>
      <c r="CW91" s="251">
        <v>9999</v>
      </c>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row>
    <row r="92" spans="1:131">
      <c r="A92" s="71" t="s">
        <v>503</v>
      </c>
      <c r="B92" s="71"/>
      <c r="C92" s="93">
        <v>15</v>
      </c>
      <c r="D92" s="93">
        <v>0.38623376009711341</v>
      </c>
      <c r="E92" s="93">
        <v>0</v>
      </c>
      <c r="F92" s="93">
        <v>0.31606351396005627</v>
      </c>
      <c r="G92" s="93">
        <v>0</v>
      </c>
      <c r="H92" s="93">
        <v>0</v>
      </c>
      <c r="I92" s="93"/>
      <c r="J92" s="93"/>
      <c r="K92" s="93"/>
      <c r="L92" s="93">
        <v>0.41512223336099691</v>
      </c>
      <c r="M92" s="93">
        <v>7.8037321595196869E-5</v>
      </c>
      <c r="N92" s="93">
        <v>7.7474083203258448E-5</v>
      </c>
      <c r="O92" s="93">
        <v>0</v>
      </c>
      <c r="P92" s="93">
        <v>0</v>
      </c>
      <c r="Q92" s="93">
        <v>0</v>
      </c>
      <c r="R92" s="93">
        <v>6.3027286818773023E-2</v>
      </c>
      <c r="S92" s="93">
        <v>0.14564647344197437</v>
      </c>
      <c r="T92" s="93">
        <v>0</v>
      </c>
      <c r="U92" s="93">
        <v>0.21148429306918681</v>
      </c>
      <c r="V92" s="93">
        <v>1.8963810837603377E-2</v>
      </c>
      <c r="W92" s="93">
        <v>4.4248891954407878E-2</v>
      </c>
      <c r="X92" s="93">
        <v>0</v>
      </c>
      <c r="Y92" s="93">
        <v>0</v>
      </c>
      <c r="Z92" s="93">
        <v>0</v>
      </c>
      <c r="AA92" s="93">
        <v>0</v>
      </c>
      <c r="AB92" s="93">
        <v>0</v>
      </c>
      <c r="AC92" s="93">
        <v>0</v>
      </c>
      <c r="AD92" s="93">
        <v>0</v>
      </c>
      <c r="AE92" s="93">
        <v>0</v>
      </c>
      <c r="AF92" s="93">
        <v>0</v>
      </c>
      <c r="AG92" s="93">
        <v>0</v>
      </c>
      <c r="AH92" s="93">
        <v>8.1991097656376397E-2</v>
      </c>
      <c r="AI92" s="93">
        <v>0.18989536539638224</v>
      </c>
      <c r="AJ92" s="93">
        <v>0</v>
      </c>
      <c r="AK92" s="93">
        <v>0.21148429306918681</v>
      </c>
      <c r="AL92" s="93">
        <v>0.48337075612194547</v>
      </c>
      <c r="AM92" s="93">
        <v>0.21605388202880565</v>
      </c>
      <c r="AN92" s="93">
        <v>2.7574369356713906E-2</v>
      </c>
      <c r="AO92" s="93">
        <v>0</v>
      </c>
      <c r="AP92" s="93">
        <v>0</v>
      </c>
      <c r="AQ92" s="93">
        <v>0.24362825138551955</v>
      </c>
      <c r="AR92" s="93">
        <v>8.1991097656376397E-2</v>
      </c>
      <c r="AS92" s="251">
        <v>2.9713988268160811</v>
      </c>
      <c r="AT92" s="93">
        <v>0.21605388202880565</v>
      </c>
      <c r="AU92" s="93">
        <v>3.2639840294293308E-2</v>
      </c>
      <c r="AV92" s="93">
        <v>0</v>
      </c>
      <c r="AW92" s="93">
        <v>0</v>
      </c>
      <c r="AX92" s="93">
        <v>0.24869372232309897</v>
      </c>
      <c r="AY92" s="93">
        <v>0.18989536539638224</v>
      </c>
      <c r="AZ92" s="251">
        <v>1.3096355553700991</v>
      </c>
      <c r="BA92" s="93">
        <v>0.21605388202880565</v>
      </c>
      <c r="BB92" s="93">
        <v>6.0214209651007211E-2</v>
      </c>
      <c r="BC92" s="93">
        <v>0</v>
      </c>
      <c r="BD92" s="93">
        <v>0</v>
      </c>
      <c r="BE92" s="93">
        <v>0.27626809167981287</v>
      </c>
      <c r="BF92" s="93">
        <v>0.27188646305275865</v>
      </c>
      <c r="BG92" s="93">
        <v>37.519587363949931</v>
      </c>
      <c r="BH92" s="251">
        <v>1.0161156556963411</v>
      </c>
      <c r="BI92" s="93">
        <v>14.533185630833891</v>
      </c>
      <c r="BJ92" s="93">
        <v>33.659563960307914</v>
      </c>
      <c r="BK92" s="93">
        <v>0</v>
      </c>
      <c r="BL92" s="93">
        <v>37.486270790779464</v>
      </c>
      <c r="BM92" s="93">
        <v>85.679020381921276</v>
      </c>
      <c r="BN92" s="93">
        <v>0.21605388202880565</v>
      </c>
      <c r="BO92" s="93">
        <v>0</v>
      </c>
      <c r="BP92" s="93">
        <v>6.0214209651007211E-2</v>
      </c>
      <c r="BQ92" s="93">
        <v>0</v>
      </c>
      <c r="BR92" s="93">
        <v>0</v>
      </c>
      <c r="BS92" s="93">
        <v>0</v>
      </c>
      <c r="BT92" s="93">
        <v>0</v>
      </c>
      <c r="BU92" s="93">
        <v>0</v>
      </c>
      <c r="BV92" s="93">
        <v>0</v>
      </c>
      <c r="BW92" s="93">
        <v>0</v>
      </c>
      <c r="BX92" s="93">
        <v>0.42015805332993422</v>
      </c>
      <c r="BY92" s="93">
        <v>6.3212702792011258E-2</v>
      </c>
      <c r="BZ92" s="93">
        <v>0</v>
      </c>
      <c r="CA92" s="93">
        <v>0</v>
      </c>
      <c r="CB92" s="93">
        <v>0.27626809167981287</v>
      </c>
      <c r="CC92" s="93">
        <v>0.48337075612194547</v>
      </c>
      <c r="CD92" s="252">
        <v>0.57154490250153978</v>
      </c>
      <c r="CE92" s="93">
        <v>75.005858154729395</v>
      </c>
      <c r="CF92" s="93">
        <v>3.9436985362462365E-3</v>
      </c>
      <c r="CG92" s="93">
        <v>0</v>
      </c>
      <c r="CH92" s="93">
        <v>3.9436985362462365E-3</v>
      </c>
      <c r="CI92" s="93">
        <v>1.9718306084647353E-4</v>
      </c>
      <c r="CJ92" s="93">
        <v>0</v>
      </c>
      <c r="CK92" s="93">
        <v>1.9718306084647353E-4</v>
      </c>
      <c r="CL92" s="93"/>
      <c r="CM92" s="93">
        <v>0</v>
      </c>
      <c r="CN92" s="93"/>
      <c r="CO92" s="93">
        <v>0</v>
      </c>
      <c r="CP92" s="93">
        <v>0</v>
      </c>
      <c r="CQ92" s="93">
        <v>0</v>
      </c>
      <c r="CR92" s="93">
        <v>0</v>
      </c>
      <c r="CS92" s="93">
        <v>0</v>
      </c>
      <c r="CT92" s="93">
        <v>0</v>
      </c>
      <c r="CU92" s="93">
        <v>0</v>
      </c>
      <c r="CV92" s="93">
        <v>9999</v>
      </c>
      <c r="CW92" s="251">
        <v>9999</v>
      </c>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row>
    <row r="93" spans="1:131">
      <c r="A93" s="71" t="s">
        <v>507</v>
      </c>
      <c r="B93" s="71"/>
      <c r="C93" s="93">
        <v>14.999999999999998</v>
      </c>
      <c r="D93" s="93">
        <v>0.10611853117726823</v>
      </c>
      <c r="E93" s="93">
        <v>0</v>
      </c>
      <c r="F93" s="93">
        <v>9.4553141516109079E-2</v>
      </c>
      <c r="G93" s="93">
        <v>0</v>
      </c>
      <c r="H93" s="93">
        <v>0</v>
      </c>
      <c r="I93" s="93"/>
      <c r="J93" s="93"/>
      <c r="K93" s="93"/>
      <c r="L93" s="93">
        <v>0.1140556994609167</v>
      </c>
      <c r="M93" s="93">
        <v>2.1440916875335303E-5</v>
      </c>
      <c r="N93" s="93">
        <v>2.1286165952370612E-5</v>
      </c>
      <c r="O93" s="93">
        <v>0</v>
      </c>
      <c r="P93" s="93">
        <v>0</v>
      </c>
      <c r="Q93" s="93">
        <v>0</v>
      </c>
      <c r="R93" s="93">
        <v>1.8855159506658486E-2</v>
      </c>
      <c r="S93" s="93">
        <v>4.3571405766315782E-2</v>
      </c>
      <c r="T93" s="93">
        <v>0</v>
      </c>
      <c r="U93" s="93">
        <v>6.3267360539224535E-2</v>
      </c>
      <c r="V93" s="93">
        <v>5.6731884909665452E-3</v>
      </c>
      <c r="W93" s="93">
        <v>1.323743981225527E-2</v>
      </c>
      <c r="X93" s="93">
        <v>0</v>
      </c>
      <c r="Y93" s="93">
        <v>0</v>
      </c>
      <c r="Z93" s="93">
        <v>0</v>
      </c>
      <c r="AA93" s="93">
        <v>0</v>
      </c>
      <c r="AB93" s="93">
        <v>0</v>
      </c>
      <c r="AC93" s="93">
        <v>0</v>
      </c>
      <c r="AD93" s="93">
        <v>0</v>
      </c>
      <c r="AE93" s="93">
        <v>0</v>
      </c>
      <c r="AF93" s="93">
        <v>0</v>
      </c>
      <c r="AG93" s="93">
        <v>0</v>
      </c>
      <c r="AH93" s="93">
        <v>2.452834799762503E-2</v>
      </c>
      <c r="AI93" s="93">
        <v>5.6808845578571049E-2</v>
      </c>
      <c r="AJ93" s="93">
        <v>0</v>
      </c>
      <c r="AK93" s="93">
        <v>6.3267360539224535E-2</v>
      </c>
      <c r="AL93" s="93">
        <v>0.14460455411542061</v>
      </c>
      <c r="AM93" s="93">
        <v>5.9361254723768547E-2</v>
      </c>
      <c r="AN93" s="93">
        <v>7.5761154942494222E-3</v>
      </c>
      <c r="AO93" s="93">
        <v>0</v>
      </c>
      <c r="AP93" s="93">
        <v>0</v>
      </c>
      <c r="AQ93" s="93">
        <v>6.6937370218017975E-2</v>
      </c>
      <c r="AR93" s="93">
        <v>2.452834799762503E-2</v>
      </c>
      <c r="AS93" s="251">
        <v>2.7289799632857141</v>
      </c>
      <c r="AT93" s="93">
        <v>5.9361254723768547E-2</v>
      </c>
      <c r="AU93" s="93">
        <v>8.9678641997015512E-3</v>
      </c>
      <c r="AV93" s="93">
        <v>0</v>
      </c>
      <c r="AW93" s="93">
        <v>0</v>
      </c>
      <c r="AX93" s="93">
        <v>6.83291189234701E-2</v>
      </c>
      <c r="AY93" s="93">
        <v>5.6808845578571049E-2</v>
      </c>
      <c r="AZ93" s="251">
        <v>1.2027901329022013</v>
      </c>
      <c r="BA93" s="93">
        <v>5.9361254723768547E-2</v>
      </c>
      <c r="BB93" s="93">
        <v>1.6543979693950973E-2</v>
      </c>
      <c r="BC93" s="93">
        <v>0</v>
      </c>
      <c r="BD93" s="93">
        <v>0</v>
      </c>
      <c r="BE93" s="93">
        <v>7.5905234417719528E-2</v>
      </c>
      <c r="BF93" s="93">
        <v>8.1337193576196093E-2</v>
      </c>
      <c r="BG93" s="93">
        <v>41.800612414871154</v>
      </c>
      <c r="BH93" s="252">
        <v>0.93321678656901352</v>
      </c>
      <c r="BI93" s="93">
        <v>15.824187540522074</v>
      </c>
      <c r="BJ93" s="93">
        <v>36.649587101540966</v>
      </c>
      <c r="BK93" s="93">
        <v>0</v>
      </c>
      <c r="BL93" s="93">
        <v>40.816225310544844</v>
      </c>
      <c r="BM93" s="93">
        <v>93.289999952607886</v>
      </c>
      <c r="BN93" s="93">
        <v>5.9361254723768547E-2</v>
      </c>
      <c r="BO93" s="93">
        <v>0</v>
      </c>
      <c r="BP93" s="93">
        <v>1.6543979693950973E-2</v>
      </c>
      <c r="BQ93" s="93">
        <v>0</v>
      </c>
      <c r="BR93" s="93">
        <v>0</v>
      </c>
      <c r="BS93" s="93">
        <v>0</v>
      </c>
      <c r="BT93" s="93">
        <v>0</v>
      </c>
      <c r="BU93" s="93">
        <v>0</v>
      </c>
      <c r="BV93" s="93">
        <v>0</v>
      </c>
      <c r="BW93" s="93">
        <v>0</v>
      </c>
      <c r="BX93" s="93">
        <v>0.12569392581219879</v>
      </c>
      <c r="BY93" s="93">
        <v>1.8910628303221818E-2</v>
      </c>
      <c r="BZ93" s="93">
        <v>0</v>
      </c>
      <c r="CA93" s="93">
        <v>0</v>
      </c>
      <c r="CB93" s="93">
        <v>7.5905234417719528E-2</v>
      </c>
      <c r="CC93" s="93">
        <v>0.14460455411542061</v>
      </c>
      <c r="CD93" s="252">
        <v>0.5249159328490679</v>
      </c>
      <c r="CE93" s="93">
        <v>82.616837725415991</v>
      </c>
      <c r="CF93" s="93">
        <v>1.0835393984388276E-3</v>
      </c>
      <c r="CG93" s="93">
        <v>0</v>
      </c>
      <c r="CH93" s="93">
        <v>1.0835393984388276E-3</v>
      </c>
      <c r="CI93" s="93">
        <v>5.4176457243935441E-5</v>
      </c>
      <c r="CJ93" s="93">
        <v>0</v>
      </c>
      <c r="CK93" s="93">
        <v>5.4176457243935441E-5</v>
      </c>
      <c r="CL93" s="93"/>
      <c r="CM93" s="93">
        <v>0</v>
      </c>
      <c r="CN93" s="93"/>
      <c r="CO93" s="93">
        <v>0</v>
      </c>
      <c r="CP93" s="93">
        <v>0</v>
      </c>
      <c r="CQ93" s="93">
        <v>0</v>
      </c>
      <c r="CR93" s="93">
        <v>0</v>
      </c>
      <c r="CS93" s="93">
        <v>0</v>
      </c>
      <c r="CT93" s="93">
        <v>0</v>
      </c>
      <c r="CU93" s="93">
        <v>0</v>
      </c>
      <c r="CV93" s="93">
        <v>9999</v>
      </c>
      <c r="CW93" s="251">
        <v>9999</v>
      </c>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row>
    <row r="94" spans="1:131">
      <c r="A94" s="71" t="s">
        <v>506</v>
      </c>
      <c r="B94" s="71"/>
      <c r="C94" s="93">
        <v>14.999999999999998</v>
      </c>
      <c r="D94" s="93">
        <v>0.10611853117726823</v>
      </c>
      <c r="E94" s="93">
        <v>0</v>
      </c>
      <c r="F94" s="93">
        <v>9.4553141516109079E-2</v>
      </c>
      <c r="G94" s="93">
        <v>0</v>
      </c>
      <c r="H94" s="93">
        <v>0</v>
      </c>
      <c r="I94" s="93"/>
      <c r="J94" s="93"/>
      <c r="K94" s="93"/>
      <c r="L94" s="93">
        <v>0.114179434646312</v>
      </c>
      <c r="M94" s="93">
        <v>1.0514952932098688E-5</v>
      </c>
      <c r="N94" s="93">
        <v>1.0439060717197916E-5</v>
      </c>
      <c r="O94" s="93">
        <v>0</v>
      </c>
      <c r="P94" s="93">
        <v>0</v>
      </c>
      <c r="Q94" s="93">
        <v>0</v>
      </c>
      <c r="R94" s="93">
        <v>1.8855159506658486E-2</v>
      </c>
      <c r="S94" s="93">
        <v>4.3571405766315782E-2</v>
      </c>
      <c r="T94" s="93">
        <v>0</v>
      </c>
      <c r="U94" s="93">
        <v>6.3267360539224535E-2</v>
      </c>
      <c r="V94" s="93">
        <v>5.6731884909665452E-3</v>
      </c>
      <c r="W94" s="93">
        <v>1.323743981225527E-2</v>
      </c>
      <c r="X94" s="93">
        <v>0</v>
      </c>
      <c r="Y94" s="93">
        <v>0</v>
      </c>
      <c r="Z94" s="93">
        <v>0</v>
      </c>
      <c r="AA94" s="93">
        <v>0</v>
      </c>
      <c r="AB94" s="93">
        <v>0</v>
      </c>
      <c r="AC94" s="93">
        <v>0</v>
      </c>
      <c r="AD94" s="93">
        <v>0</v>
      </c>
      <c r="AE94" s="93">
        <v>0</v>
      </c>
      <c r="AF94" s="93">
        <v>0</v>
      </c>
      <c r="AG94" s="93">
        <v>0</v>
      </c>
      <c r="AH94" s="93">
        <v>2.452834799762503E-2</v>
      </c>
      <c r="AI94" s="93">
        <v>5.6808845578571049E-2</v>
      </c>
      <c r="AJ94" s="93">
        <v>0</v>
      </c>
      <c r="AK94" s="93">
        <v>6.3267360539224535E-2</v>
      </c>
      <c r="AL94" s="93">
        <v>0.14460455411542061</v>
      </c>
      <c r="AM94" s="93">
        <v>6.1156275100641186E-2</v>
      </c>
      <c r="AN94" s="93">
        <v>3.7154426880790961E-3</v>
      </c>
      <c r="AO94" s="93">
        <v>0</v>
      </c>
      <c r="AP94" s="93">
        <v>0</v>
      </c>
      <c r="AQ94" s="93">
        <v>6.4871717788720279E-2</v>
      </c>
      <c r="AR94" s="93">
        <v>2.452834799762503E-2</v>
      </c>
      <c r="AS94" s="251">
        <v>2.6447650610225164</v>
      </c>
      <c r="AT94" s="93">
        <v>6.1156275100641186E-2</v>
      </c>
      <c r="AU94" s="93">
        <v>4.3979774983312139E-3</v>
      </c>
      <c r="AV94" s="93">
        <v>0</v>
      </c>
      <c r="AW94" s="93">
        <v>0</v>
      </c>
      <c r="AX94" s="93">
        <v>6.5554252598972407E-2</v>
      </c>
      <c r="AY94" s="93">
        <v>5.6808845578571049E-2</v>
      </c>
      <c r="AZ94" s="251">
        <v>1.1539444593765908</v>
      </c>
      <c r="BA94" s="93">
        <v>6.1156275100641186E-2</v>
      </c>
      <c r="BB94" s="93">
        <v>8.1134201864103105E-3</v>
      </c>
      <c r="BC94" s="93">
        <v>0</v>
      </c>
      <c r="BD94" s="93">
        <v>0</v>
      </c>
      <c r="BE94" s="93">
        <v>6.92696952870515E-2</v>
      </c>
      <c r="BF94" s="93">
        <v>8.1337193576196093E-2</v>
      </c>
      <c r="BG94" s="93">
        <v>47.188299962924575</v>
      </c>
      <c r="BH94" s="252">
        <v>0.85163616104064555</v>
      </c>
      <c r="BI94" s="93">
        <v>15.807039016489512</v>
      </c>
      <c r="BJ94" s="93">
        <v>36.609870286786034</v>
      </c>
      <c r="BK94" s="93">
        <v>0</v>
      </c>
      <c r="BL94" s="93">
        <v>40.771993148933767</v>
      </c>
      <c r="BM94" s="93">
        <v>93.188902452209319</v>
      </c>
      <c r="BN94" s="93">
        <v>6.1156275100641186E-2</v>
      </c>
      <c r="BO94" s="93">
        <v>0</v>
      </c>
      <c r="BP94" s="93">
        <v>8.1134201864103105E-3</v>
      </c>
      <c r="BQ94" s="93">
        <v>0</v>
      </c>
      <c r="BR94" s="93">
        <v>0</v>
      </c>
      <c r="BS94" s="93">
        <v>0</v>
      </c>
      <c r="BT94" s="93">
        <v>0</v>
      </c>
      <c r="BU94" s="93">
        <v>0</v>
      </c>
      <c r="BV94" s="93">
        <v>0</v>
      </c>
      <c r="BW94" s="93">
        <v>0</v>
      </c>
      <c r="BX94" s="93">
        <v>0.12569392581219879</v>
      </c>
      <c r="BY94" s="93">
        <v>1.8910628303221818E-2</v>
      </c>
      <c r="BZ94" s="93">
        <v>0</v>
      </c>
      <c r="CA94" s="93">
        <v>0</v>
      </c>
      <c r="CB94" s="93">
        <v>6.9269695287051486E-2</v>
      </c>
      <c r="CC94" s="93">
        <v>0.14460455411542061</v>
      </c>
      <c r="CD94" s="252">
        <v>0.47902844907472092</v>
      </c>
      <c r="CE94" s="93">
        <v>87.960293111858334</v>
      </c>
      <c r="CF94" s="93">
        <v>1.0847072646662681E-3</v>
      </c>
      <c r="CG94" s="93">
        <v>0</v>
      </c>
      <c r="CH94" s="93">
        <v>1.0847072646662681E-3</v>
      </c>
      <c r="CI94" s="93">
        <v>5.4235231456998192E-5</v>
      </c>
      <c r="CJ94" s="93">
        <v>0</v>
      </c>
      <c r="CK94" s="93">
        <v>5.4235231456998192E-5</v>
      </c>
      <c r="CL94" s="93"/>
      <c r="CM94" s="93">
        <v>0</v>
      </c>
      <c r="CN94" s="93"/>
      <c r="CO94" s="93">
        <v>0</v>
      </c>
      <c r="CP94" s="93">
        <v>0</v>
      </c>
      <c r="CQ94" s="93">
        <v>0</v>
      </c>
      <c r="CR94" s="93">
        <v>0</v>
      </c>
      <c r="CS94" s="93">
        <v>0</v>
      </c>
      <c r="CT94" s="93">
        <v>0</v>
      </c>
      <c r="CU94" s="93">
        <v>0</v>
      </c>
      <c r="CV94" s="93">
        <v>9999</v>
      </c>
      <c r="CW94" s="251">
        <v>9999</v>
      </c>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row>
    <row r="95" spans="1:131">
      <c r="A95" s="71"/>
      <c r="B95" s="71"/>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row>
    <row r="96" spans="1:131">
      <c r="A96" s="71"/>
      <c r="B96" s="71"/>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c r="CN96" s="93"/>
      <c r="CO96" s="93"/>
      <c r="CP96" s="93"/>
      <c r="CQ96" s="93"/>
      <c r="CR96" s="93"/>
      <c r="CS96" s="93"/>
      <c r="CT96" s="93"/>
      <c r="CU96" s="93"/>
      <c r="CV96" s="93"/>
      <c r="CW96" s="93"/>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row>
    <row r="97" spans="1:131" ht="13.5" thickBot="1">
      <c r="A97" s="240" t="s">
        <v>678</v>
      </c>
      <c r="B97" s="241"/>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row>
    <row r="98" spans="1:131" ht="13.5" thickBot="1">
      <c r="A98" s="272" t="s">
        <v>679</v>
      </c>
      <c r="B98" s="273"/>
      <c r="C98" s="274"/>
      <c r="D98" s="274"/>
      <c r="E98" s="274"/>
      <c r="F98" s="274"/>
      <c r="G98" s="274"/>
      <c r="H98" s="274"/>
      <c r="I98" s="274"/>
      <c r="J98" s="274"/>
      <c r="K98" s="274"/>
      <c r="L98" s="247"/>
      <c r="M98" s="275"/>
      <c r="N98" s="276" t="s">
        <v>680</v>
      </c>
      <c r="O98" s="274"/>
      <c r="P98" s="274"/>
      <c r="Q98" s="274"/>
      <c r="R98" s="274"/>
      <c r="S98" s="274"/>
      <c r="T98" s="274"/>
      <c r="U98" s="274"/>
      <c r="V98" s="274"/>
      <c r="W98" s="274"/>
      <c r="X98" s="274"/>
      <c r="Y98" s="247"/>
      <c r="Z98" s="275"/>
      <c r="AA98" s="276" t="s">
        <v>681</v>
      </c>
      <c r="AB98" s="274"/>
      <c r="AC98" s="274"/>
      <c r="AD98" s="274"/>
      <c r="AE98" s="274"/>
      <c r="AF98" s="274"/>
      <c r="AG98" s="274"/>
      <c r="AH98" s="274"/>
      <c r="AI98" s="274"/>
      <c r="AJ98" s="274"/>
      <c r="AK98" s="274"/>
      <c r="AL98" s="247"/>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3"/>
      <c r="CW98" s="93"/>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row>
    <row r="99" spans="1:131" ht="102">
      <c r="A99" s="248"/>
      <c r="B99" s="249" t="s">
        <v>682</v>
      </c>
      <c r="C99" s="250" t="s">
        <v>683</v>
      </c>
      <c r="D99" s="250" t="s">
        <v>467</v>
      </c>
      <c r="E99" s="250" t="s">
        <v>468</v>
      </c>
      <c r="F99" s="250" t="s">
        <v>469</v>
      </c>
      <c r="G99" s="250" t="s">
        <v>470</v>
      </c>
      <c r="H99" s="250" t="s">
        <v>471</v>
      </c>
      <c r="I99" s="250" t="s">
        <v>472</v>
      </c>
      <c r="J99" s="250" t="s">
        <v>473</v>
      </c>
      <c r="K99" s="250" t="s">
        <v>474</v>
      </c>
      <c r="L99" s="250" t="s">
        <v>475</v>
      </c>
      <c r="M99" s="250" t="s">
        <v>476</v>
      </c>
      <c r="N99" s="250" t="s">
        <v>478</v>
      </c>
      <c r="O99" s="250" t="s">
        <v>479</v>
      </c>
      <c r="P99" s="250" t="s">
        <v>480</v>
      </c>
      <c r="Q99" s="250" t="s">
        <v>481</v>
      </c>
      <c r="R99" s="250" t="s">
        <v>482</v>
      </c>
      <c r="S99" s="250" t="s">
        <v>483</v>
      </c>
      <c r="T99" s="250" t="s">
        <v>484</v>
      </c>
      <c r="U99" s="250" t="s">
        <v>485</v>
      </c>
      <c r="V99" s="250" t="s">
        <v>486</v>
      </c>
      <c r="W99" s="250" t="s">
        <v>487</v>
      </c>
      <c r="X99" s="250" t="s">
        <v>488</v>
      </c>
      <c r="Y99" s="250" t="s">
        <v>489</v>
      </c>
      <c r="Z99" s="250"/>
      <c r="AA99" s="250" t="s">
        <v>478</v>
      </c>
      <c r="AB99" s="250" t="s">
        <v>479</v>
      </c>
      <c r="AC99" s="250" t="s">
        <v>480</v>
      </c>
      <c r="AD99" s="250" t="s">
        <v>481</v>
      </c>
      <c r="AE99" s="250" t="s">
        <v>482</v>
      </c>
      <c r="AF99" s="250" t="s">
        <v>483</v>
      </c>
      <c r="AG99" s="250" t="s">
        <v>484</v>
      </c>
      <c r="AH99" s="250" t="s">
        <v>485</v>
      </c>
      <c r="AI99" s="250" t="s">
        <v>486</v>
      </c>
      <c r="AJ99" s="250" t="s">
        <v>487</v>
      </c>
      <c r="AK99" s="250" t="s">
        <v>488</v>
      </c>
      <c r="AL99" s="250" t="s">
        <v>489</v>
      </c>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row>
    <row r="100" spans="1:131">
      <c r="A100" s="71"/>
      <c r="B100" s="277" t="s">
        <v>684</v>
      </c>
      <c r="C100" s="278">
        <v>8.4669560872493292</v>
      </c>
      <c r="D100" s="278">
        <v>2.2592516697147333</v>
      </c>
      <c r="E100" s="278">
        <v>0</v>
      </c>
      <c r="F100" s="278">
        <v>2.2592516697147333</v>
      </c>
      <c r="G100" s="278">
        <v>3.0033292094882871</v>
      </c>
      <c r="H100" s="278">
        <v>5.583526738490713</v>
      </c>
      <c r="I100" s="278">
        <v>2337.4450537785424</v>
      </c>
      <c r="J100" s="278">
        <v>2.6286866234748927</v>
      </c>
      <c r="K100" s="278">
        <v>15.766139541260534</v>
      </c>
      <c r="L100" s="251">
        <v>2.0358909927694953</v>
      </c>
      <c r="M100" s="93">
        <v>8.0436844714135813E-2</v>
      </c>
      <c r="N100" s="84">
        <v>0.51932245892329376</v>
      </c>
      <c r="O100" s="84">
        <v>0.4676519817797809</v>
      </c>
      <c r="P100" s="84">
        <v>0.53869294657669509</v>
      </c>
      <c r="Q100" s="84">
        <v>0.50101158239807531</v>
      </c>
      <c r="R100" s="84">
        <v>0.5125742705649099</v>
      </c>
      <c r="S100" s="84">
        <v>0.50832124454823502</v>
      </c>
      <c r="T100" s="84">
        <v>0.48395246830514166</v>
      </c>
      <c r="U100" s="84">
        <v>0.50575589071043847</v>
      </c>
      <c r="V100" s="84">
        <v>0.47021887935508333</v>
      </c>
      <c r="W100" s="84">
        <v>0.53486300433487222</v>
      </c>
      <c r="X100" s="84">
        <v>0.47309890878123817</v>
      </c>
      <c r="Y100" s="84">
        <v>0.51355994663491</v>
      </c>
      <c r="Z100" s="84"/>
      <c r="AA100" s="84">
        <v>0.23332871642446149</v>
      </c>
      <c r="AB100" s="84">
        <v>0.20105974866142565</v>
      </c>
      <c r="AC100" s="84">
        <v>0.19431640818314477</v>
      </c>
      <c r="AD100" s="84">
        <v>0.20244029299909061</v>
      </c>
      <c r="AE100" s="84">
        <v>0.19982223294700915</v>
      </c>
      <c r="AF100" s="84">
        <v>0.17683545979083165</v>
      </c>
      <c r="AG100" s="84">
        <v>0.20691655538673989</v>
      </c>
      <c r="AH100" s="84">
        <v>0.17216254900708461</v>
      </c>
      <c r="AI100" s="84">
        <v>0.20785175281439469</v>
      </c>
      <c r="AJ100" s="84">
        <v>0.18712227996864447</v>
      </c>
      <c r="AK100" s="84">
        <v>0.22142711298436954</v>
      </c>
      <c r="AL100" s="84">
        <v>0.2346493951694569</v>
      </c>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row>
    <row r="101" spans="1:131">
      <c r="A101" s="71"/>
      <c r="B101" s="277" t="s">
        <v>685</v>
      </c>
      <c r="C101" s="278">
        <v>8.3151685903620258</v>
      </c>
      <c r="D101" s="278">
        <v>2.192537870462389</v>
      </c>
      <c r="E101" s="278">
        <v>0.43850757409247781</v>
      </c>
      <c r="F101" s="278">
        <v>2.631045444554867</v>
      </c>
      <c r="G101" s="278">
        <v>3.3531510011792838</v>
      </c>
      <c r="H101" s="278">
        <v>5.4825106070096412</v>
      </c>
      <c r="I101" s="278">
        <v>2771.796848594885</v>
      </c>
      <c r="J101" s="278">
        <v>6.3621295578371226</v>
      </c>
      <c r="K101" s="278">
        <v>19.344377895331785</v>
      </c>
      <c r="L101" s="251">
        <v>1.7838783104136575</v>
      </c>
      <c r="M101" s="93">
        <v>7.8994849848073354E-2</v>
      </c>
      <c r="N101" s="84">
        <v>7.3577180506863057E-2</v>
      </c>
      <c r="O101" s="84">
        <v>6.6157820535287071E-2</v>
      </c>
      <c r="P101" s="84">
        <v>7.6130643885421692E-2</v>
      </c>
      <c r="Q101" s="84">
        <v>7.0825933797188573E-2</v>
      </c>
      <c r="R101" s="84">
        <v>7.2309083674327049E-2</v>
      </c>
      <c r="S101" s="84">
        <v>7.1576204685445066E-2</v>
      </c>
      <c r="T101" s="84">
        <v>6.7998616269283385E-2</v>
      </c>
      <c r="U101" s="84">
        <v>7.0851975985014234E-2</v>
      </c>
      <c r="V101" s="84">
        <v>6.6198393484608181E-2</v>
      </c>
      <c r="W101" s="84">
        <v>7.547874757349389E-2</v>
      </c>
      <c r="X101" s="84">
        <v>6.6794587891816512E-2</v>
      </c>
      <c r="Y101" s="84">
        <v>7.2721845109745387E-2</v>
      </c>
      <c r="Z101" s="84"/>
      <c r="AA101" s="84">
        <v>3.1237904141029518E-2</v>
      </c>
      <c r="AB101" s="84">
        <v>2.6838690389542445E-2</v>
      </c>
      <c r="AC101" s="84">
        <v>2.5743954564283689E-2</v>
      </c>
      <c r="AD101" s="84">
        <v>2.6880980551746609E-2</v>
      </c>
      <c r="AE101" s="84">
        <v>2.637384604433746E-2</v>
      </c>
      <c r="AF101" s="84">
        <v>2.3142318523165943E-2</v>
      </c>
      <c r="AG101" s="84">
        <v>2.7172023701987583E-2</v>
      </c>
      <c r="AH101" s="84">
        <v>2.2283807883841704E-2</v>
      </c>
      <c r="AI101" s="84">
        <v>2.7433784652741485E-2</v>
      </c>
      <c r="AJ101" s="84">
        <v>2.4639818087862485E-2</v>
      </c>
      <c r="AK101" s="84">
        <v>2.9562718483000277E-2</v>
      </c>
      <c r="AL101" s="84">
        <v>3.1452793212805065E-2</v>
      </c>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row>
    <row r="102" spans="1:131">
      <c r="A102" s="71"/>
      <c r="B102" s="277" t="s">
        <v>686</v>
      </c>
      <c r="C102" s="279"/>
      <c r="D102" s="279"/>
      <c r="E102" s="279"/>
      <c r="F102" s="279"/>
      <c r="G102" s="279"/>
      <c r="H102" s="279"/>
      <c r="I102" s="279"/>
      <c r="J102" s="279"/>
      <c r="K102" s="279"/>
      <c r="L102" s="252"/>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row>
    <row r="103" spans="1:131">
      <c r="A103" s="71"/>
      <c r="B103" s="71" t="s">
        <v>192</v>
      </c>
      <c r="C103" s="280">
        <v>0</v>
      </c>
      <c r="D103" s="280">
        <v>0</v>
      </c>
      <c r="E103" s="280">
        <v>0</v>
      </c>
      <c r="F103" s="280">
        <v>0</v>
      </c>
      <c r="G103" s="280">
        <v>0</v>
      </c>
      <c r="H103" s="280">
        <v>0</v>
      </c>
      <c r="I103" s="280">
        <v>0</v>
      </c>
      <c r="J103" s="280">
        <v>0</v>
      </c>
      <c r="K103" s="280">
        <v>0</v>
      </c>
      <c r="L103" s="252">
        <v>0</v>
      </c>
      <c r="M103" s="280">
        <v>0</v>
      </c>
      <c r="N103" s="280">
        <v>0</v>
      </c>
      <c r="O103" s="280">
        <v>0</v>
      </c>
      <c r="P103" s="280">
        <v>0</v>
      </c>
      <c r="Q103" s="280">
        <v>0</v>
      </c>
      <c r="R103" s="280">
        <v>0</v>
      </c>
      <c r="S103" s="280">
        <v>0</v>
      </c>
      <c r="T103" s="280">
        <v>0</v>
      </c>
      <c r="U103" s="280">
        <v>0</v>
      </c>
      <c r="V103" s="280">
        <v>0</v>
      </c>
      <c r="W103" s="280">
        <v>0</v>
      </c>
      <c r="X103" s="280">
        <v>0</v>
      </c>
      <c r="Y103" s="280">
        <v>0</v>
      </c>
      <c r="Z103" s="280"/>
      <c r="AA103" s="280">
        <v>0</v>
      </c>
      <c r="AB103" s="280">
        <v>0</v>
      </c>
      <c r="AC103" s="280">
        <v>0</v>
      </c>
      <c r="AD103" s="280">
        <v>0</v>
      </c>
      <c r="AE103" s="280">
        <v>0</v>
      </c>
      <c r="AF103" s="280">
        <v>0</v>
      </c>
      <c r="AG103" s="280">
        <v>0</v>
      </c>
      <c r="AH103" s="280">
        <v>0</v>
      </c>
      <c r="AI103" s="280">
        <v>0</v>
      </c>
      <c r="AJ103" s="280">
        <v>0</v>
      </c>
      <c r="AK103" s="280">
        <v>0</v>
      </c>
      <c r="AL103" s="280">
        <v>0</v>
      </c>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row>
    <row r="104" spans="1:131">
      <c r="A104" s="71"/>
      <c r="B104" s="71" t="s">
        <v>195</v>
      </c>
      <c r="C104" s="93">
        <v>2.242235852861266</v>
      </c>
      <c r="D104" s="93">
        <v>0.36477305744345806</v>
      </c>
      <c r="E104" s="93">
        <v>7.2954611488691617E-2</v>
      </c>
      <c r="F104" s="93">
        <v>0.43772766893214965</v>
      </c>
      <c r="G104" s="93">
        <v>0.55786454557877674</v>
      </c>
      <c r="H104" s="93">
        <v>1.4922308910092736</v>
      </c>
      <c r="I104" s="93">
        <v>1710.1208933719083</v>
      </c>
      <c r="J104" s="93">
        <v>-0.37582831122032689</v>
      </c>
      <c r="K104" s="93">
        <v>7.6338546986102296</v>
      </c>
      <c r="L104" s="251">
        <v>2.6993488970198505</v>
      </c>
      <c r="M104" s="93">
        <v>2.1301442178256077E-2</v>
      </c>
      <c r="N104" s="84">
        <v>0.140599699648007</v>
      </c>
      <c r="O104" s="84">
        <v>0.12642193724398657</v>
      </c>
      <c r="P104" s="84">
        <v>0.14547914979293397</v>
      </c>
      <c r="Q104" s="84">
        <v>0.13534230247169476</v>
      </c>
      <c r="R104" s="84">
        <v>0.13817647504832939</v>
      </c>
      <c r="S104" s="84">
        <v>0.13677600597618916</v>
      </c>
      <c r="T104" s="84">
        <v>0.12993954046729944</v>
      </c>
      <c r="U104" s="84">
        <v>0.13539206686550873</v>
      </c>
      <c r="V104" s="84">
        <v>0.12649946868035156</v>
      </c>
      <c r="W104" s="84">
        <v>0.14423343169083652</v>
      </c>
      <c r="X104" s="84">
        <v>0.12763874520614196</v>
      </c>
      <c r="Y104" s="84">
        <v>0.13896522685216733</v>
      </c>
      <c r="Z104" s="84"/>
      <c r="AA104" s="84">
        <v>5.9692963356380704E-2</v>
      </c>
      <c r="AB104" s="84">
        <v>5.1286442096860979E-2</v>
      </c>
      <c r="AC104" s="84">
        <v>4.9194495556303647E-2</v>
      </c>
      <c r="AD104" s="84">
        <v>5.1367254980189889E-2</v>
      </c>
      <c r="AE104" s="84">
        <v>5.0398164306537131E-2</v>
      </c>
      <c r="AF104" s="84">
        <v>4.4222991572939338E-2</v>
      </c>
      <c r="AG104" s="84">
        <v>5.1923413550368766E-2</v>
      </c>
      <c r="AH104" s="84">
        <v>4.2582451160788758E-2</v>
      </c>
      <c r="AI104" s="84">
        <v>5.2423616341533655E-2</v>
      </c>
      <c r="AJ104" s="84">
        <v>4.7084585175316038E-2</v>
      </c>
      <c r="AK104" s="84">
        <v>5.6491826825311939E-2</v>
      </c>
      <c r="AL104" s="84">
        <v>6.0103597995288388E-2</v>
      </c>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93"/>
      <c r="CE104" s="93"/>
      <c r="CF104" s="93"/>
      <c r="CG104" s="93"/>
      <c r="CH104" s="93"/>
      <c r="CI104" s="93"/>
      <c r="CJ104" s="93"/>
      <c r="CK104" s="93"/>
      <c r="CL104" s="93"/>
      <c r="CM104" s="93"/>
      <c r="CN104" s="93"/>
      <c r="CO104" s="93"/>
      <c r="CP104" s="93"/>
      <c r="CQ104" s="93"/>
      <c r="CR104" s="93"/>
      <c r="CS104" s="93"/>
      <c r="CT104" s="93"/>
      <c r="CU104" s="93"/>
      <c r="CV104" s="93"/>
      <c r="CW104" s="93"/>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row>
    <row r="105" spans="1:131">
      <c r="A105" s="71"/>
      <c r="B105" s="71" t="s">
        <v>198</v>
      </c>
      <c r="C105" s="93">
        <v>0.75826144027384157</v>
      </c>
      <c r="D105" s="93">
        <v>0.1798317315436718</v>
      </c>
      <c r="E105" s="93">
        <v>3.5966346308734361E-2</v>
      </c>
      <c r="F105" s="93">
        <v>0.21579807785240615</v>
      </c>
      <c r="G105" s="93">
        <v>0.2750251016381754</v>
      </c>
      <c r="H105" s="93">
        <v>0.50463074310132294</v>
      </c>
      <c r="I105" s="93">
        <v>2493.0598624458266</v>
      </c>
      <c r="J105" s="93">
        <v>4.3385658767157969</v>
      </c>
      <c r="K105" s="93">
        <v>16.015295457716352</v>
      </c>
      <c r="L105" s="251">
        <v>1.8348534010005313</v>
      </c>
      <c r="M105" s="93">
        <v>7.203551849990773E-3</v>
      </c>
      <c r="N105" s="84">
        <v>4.7546885231151338E-2</v>
      </c>
      <c r="O105" s="84">
        <v>4.2752362600262855E-2</v>
      </c>
      <c r="P105" s="84">
        <v>4.9196978770559938E-2</v>
      </c>
      <c r="Q105" s="84">
        <v>4.5768980578563108E-2</v>
      </c>
      <c r="R105" s="84">
        <v>4.6727418459752666E-2</v>
      </c>
      <c r="S105" s="84">
        <v>4.6253818996812607E-2</v>
      </c>
      <c r="T105" s="84">
        <v>4.394191760760853E-2</v>
      </c>
      <c r="U105" s="84">
        <v>4.5785809504422799E-2</v>
      </c>
      <c r="V105" s="84">
        <v>4.2778581563147414E-2</v>
      </c>
      <c r="W105" s="84">
        <v>4.8775711756625491E-2</v>
      </c>
      <c r="X105" s="84">
        <v>4.3163853013612204E-2</v>
      </c>
      <c r="Y105" s="84">
        <v>4.6994152254965851E-2</v>
      </c>
      <c r="Z105" s="84"/>
      <c r="AA105" s="84">
        <v>2.0186490333326871E-2</v>
      </c>
      <c r="AB105" s="84">
        <v>1.7343640010600143E-2</v>
      </c>
      <c r="AC105" s="84">
        <v>1.6636202211496753E-2</v>
      </c>
      <c r="AD105" s="84">
        <v>1.7370968667051453E-2</v>
      </c>
      <c r="AE105" s="84">
        <v>1.7043249310935461E-2</v>
      </c>
      <c r="AF105" s="84">
        <v>1.4954978639077939E-2</v>
      </c>
      <c r="AG105" s="84">
        <v>1.755904593729327E-2</v>
      </c>
      <c r="AH105" s="84">
        <v>1.440019376479393E-2</v>
      </c>
      <c r="AI105" s="84">
        <v>1.772820052840093E-2</v>
      </c>
      <c r="AJ105" s="84">
        <v>1.5922689544087192E-2</v>
      </c>
      <c r="AK105" s="84">
        <v>1.9103955508337791E-2</v>
      </c>
      <c r="AL105" s="84">
        <v>2.0325355480954915E-2</v>
      </c>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row>
    <row r="106" spans="1:131">
      <c r="A106" s="71"/>
      <c r="B106" s="71" t="s">
        <v>201</v>
      </c>
      <c r="C106" s="93">
        <v>5.3146712972269174</v>
      </c>
      <c r="D106" s="93">
        <v>1.6479330814752593</v>
      </c>
      <c r="E106" s="93">
        <v>0.32958661629505193</v>
      </c>
      <c r="F106" s="93">
        <v>1.9775196977703113</v>
      </c>
      <c r="G106" s="93">
        <v>2.5202613539623311</v>
      </c>
      <c r="H106" s="93">
        <v>3.4856489728990439</v>
      </c>
      <c r="I106" s="93">
        <v>3259.4814587134933</v>
      </c>
      <c r="J106" s="93">
        <v>9.4935520089463576</v>
      </c>
      <c r="K106" s="93">
        <v>24.759965840800231</v>
      </c>
      <c r="L106" s="251">
        <v>1.3903726164253847</v>
      </c>
      <c r="M106" s="93">
        <v>5.0489855819826499E-2</v>
      </c>
      <c r="N106" s="84">
        <v>0.32165801870994098</v>
      </c>
      <c r="O106" s="84">
        <v>0.28991958605930085</v>
      </c>
      <c r="P106" s="84">
        <v>0.33416864973590588</v>
      </c>
      <c r="Q106" s="84">
        <v>0.31073834196990474</v>
      </c>
      <c r="R106" s="84">
        <v>0.31831656119952939</v>
      </c>
      <c r="S106" s="84">
        <v>0.31603240806006366</v>
      </c>
      <c r="T106" s="84">
        <v>0.30127479123790535</v>
      </c>
      <c r="U106" s="84">
        <v>0.31541268817658474</v>
      </c>
      <c r="V106" s="84">
        <v>0.29237748476756176</v>
      </c>
      <c r="W106" s="84">
        <v>0.33209002113082048</v>
      </c>
      <c r="X106" s="84">
        <v>0.29365584322797228</v>
      </c>
      <c r="Y106" s="84">
        <v>0.31819335734899468</v>
      </c>
      <c r="Z106" s="84"/>
      <c r="AA106" s="84">
        <v>0.1494083651288716</v>
      </c>
      <c r="AB106" s="84">
        <v>0.12895784593339762</v>
      </c>
      <c r="AC106" s="84">
        <v>0.12515550350085039</v>
      </c>
      <c r="AD106" s="84">
        <v>0.13022477812690278</v>
      </c>
      <c r="AE106" s="84">
        <v>0.12896913041284991</v>
      </c>
      <c r="AF106" s="84">
        <v>0.11466382716495231</v>
      </c>
      <c r="AG106" s="84">
        <v>0.13391915568322255</v>
      </c>
      <c r="AH106" s="84">
        <v>0.11229729756855458</v>
      </c>
      <c r="AI106" s="84">
        <v>0.13415113464770642</v>
      </c>
      <c r="AJ106" s="84">
        <v>0.12092762809771712</v>
      </c>
      <c r="AK106" s="84">
        <v>0.1420071330412386</v>
      </c>
      <c r="AL106" s="84">
        <v>0.15015174629616876</v>
      </c>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row>
    <row r="107" spans="1:131">
      <c r="A107" s="71"/>
      <c r="B107" s="71" t="s">
        <v>204</v>
      </c>
      <c r="C107" s="93">
        <v>0.15178749688730306</v>
      </c>
      <c r="D107" s="93">
        <v>6.6713799252344441E-2</v>
      </c>
      <c r="E107" s="93">
        <v>1.3342759850468889E-2</v>
      </c>
      <c r="F107" s="93">
        <v>8.0056559102813327E-2</v>
      </c>
      <c r="G107" s="93">
        <v>0.10202854225195006</v>
      </c>
      <c r="H107" s="93">
        <v>0.10101613148107208</v>
      </c>
      <c r="I107" s="93">
        <v>4620.2452252133271</v>
      </c>
      <c r="J107" s="93">
        <v>17.147214707614797</v>
      </c>
      <c r="K107" s="93">
        <v>38.787029661676023</v>
      </c>
      <c r="L107" s="252">
        <v>0.99007718086985974</v>
      </c>
      <c r="M107" s="93">
        <v>1.4419948660624529E-3</v>
      </c>
      <c r="N107" s="84">
        <v>9.5178553341944382E-3</v>
      </c>
      <c r="O107" s="84">
        <v>8.5580958762306158E-3</v>
      </c>
      <c r="P107" s="84">
        <v>9.8481682772952883E-3</v>
      </c>
      <c r="Q107" s="84">
        <v>9.1619573779127654E-3</v>
      </c>
      <c r="R107" s="84">
        <v>9.3538158572984437E-3</v>
      </c>
      <c r="S107" s="84">
        <v>9.2590115151695851E-3</v>
      </c>
      <c r="T107" s="84">
        <v>8.7962189923283425E-3</v>
      </c>
      <c r="U107" s="84">
        <v>9.1653261639222747E-3</v>
      </c>
      <c r="V107" s="84">
        <v>8.5633443440226633E-3</v>
      </c>
      <c r="W107" s="84">
        <v>9.7638397565898098E-3</v>
      </c>
      <c r="X107" s="84">
        <v>8.6404673335117119E-3</v>
      </c>
      <c r="Y107" s="84">
        <v>9.4072101787821237E-3</v>
      </c>
      <c r="Z107" s="84"/>
      <c r="AA107" s="84">
        <v>4.0408976058822939E-3</v>
      </c>
      <c r="AB107" s="84">
        <v>3.4718206205668926E-3</v>
      </c>
      <c r="AC107" s="84">
        <v>3.3302069144939758E-3</v>
      </c>
      <c r="AD107" s="84">
        <v>3.4772912249464842E-3</v>
      </c>
      <c r="AE107" s="84">
        <v>3.4116889166866836E-3</v>
      </c>
      <c r="AF107" s="84">
        <v>2.9936624138620811E-3</v>
      </c>
      <c r="AG107" s="84">
        <v>3.5149402158553352E-3</v>
      </c>
      <c r="AH107" s="84">
        <v>2.882606512947358E-3</v>
      </c>
      <c r="AI107" s="84">
        <v>3.5488012967537048E-3</v>
      </c>
      <c r="AJ107" s="84">
        <v>3.1873771515241386E-3</v>
      </c>
      <c r="AK107" s="84">
        <v>3.824197609481203E-3</v>
      </c>
      <c r="AL107" s="84">
        <v>4.0686953970448438E-3</v>
      </c>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row>
    <row r="108" spans="1:131">
      <c r="A108" s="71"/>
      <c r="B108" s="71" t="s">
        <v>207</v>
      </c>
      <c r="C108" s="93">
        <v>0.12235600665603641</v>
      </c>
      <c r="D108" s="93">
        <v>6.186975639218098E-2</v>
      </c>
      <c r="E108" s="93">
        <v>1.2373951278436197E-2</v>
      </c>
      <c r="F108" s="93">
        <v>7.4243707670617179E-2</v>
      </c>
      <c r="G108" s="93">
        <v>9.4620320307356245E-2</v>
      </c>
      <c r="H108" s="93">
        <v>8.1429173741773567E-2</v>
      </c>
      <c r="I108" s="93">
        <v>5315.4307415648263</v>
      </c>
      <c r="J108" s="93">
        <v>21.333209641168121</v>
      </c>
      <c r="K108" s="93">
        <v>46.229060844235001</v>
      </c>
      <c r="L108" s="252">
        <v>0.86058865027370723</v>
      </c>
      <c r="M108" s="93">
        <v>1.1623930629866433E-3</v>
      </c>
      <c r="N108" s="84">
        <v>7.6723497949672138E-3</v>
      </c>
      <c r="O108" s="84">
        <v>6.8986870293574433E-3</v>
      </c>
      <c r="P108" s="84">
        <v>7.9386152878004601E-3</v>
      </c>
      <c r="Q108" s="84">
        <v>7.3854602052403229E-3</v>
      </c>
      <c r="R108" s="84">
        <v>7.5401174587172706E-3</v>
      </c>
      <c r="S108" s="84">
        <v>7.4636956126863541E-3</v>
      </c>
      <c r="T108" s="84">
        <v>7.0906382386183861E-3</v>
      </c>
      <c r="U108" s="84">
        <v>7.3881757859821824E-3</v>
      </c>
      <c r="V108" s="84">
        <v>6.9029178228896303E-3</v>
      </c>
      <c r="W108" s="84">
        <v>7.8706380086943032E-3</v>
      </c>
      <c r="X108" s="84">
        <v>6.9650867182780418E-3</v>
      </c>
      <c r="Y108" s="84">
        <v>7.5831586583471871E-3</v>
      </c>
      <c r="Z108" s="84"/>
      <c r="AA108" s="84">
        <v>3.2573703664722209E-3</v>
      </c>
      <c r="AB108" s="84">
        <v>2.7986370133901406E-3</v>
      </c>
      <c r="AC108" s="84">
        <v>2.6844821065751963E-3</v>
      </c>
      <c r="AD108" s="84">
        <v>2.8030468713798199E-3</v>
      </c>
      <c r="AE108" s="84">
        <v>2.7501648051313251E-3</v>
      </c>
      <c r="AF108" s="84">
        <v>2.4131933508884087E-3</v>
      </c>
      <c r="AG108" s="84">
        <v>2.8333957490983622E-3</v>
      </c>
      <c r="AH108" s="84">
        <v>2.3236711120336309E-3</v>
      </c>
      <c r="AI108" s="84">
        <v>2.8606911899267833E-3</v>
      </c>
      <c r="AJ108" s="84">
        <v>2.5693469354511021E-3</v>
      </c>
      <c r="AK108" s="84">
        <v>3.0826883488769179E-3</v>
      </c>
      <c r="AL108" s="84">
        <v>3.2797781852336922E-3</v>
      </c>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row>
    <row r="109" spans="1:131">
      <c r="A109" s="71"/>
      <c r="B109" s="71" t="s">
        <v>210</v>
      </c>
      <c r="C109" s="93">
        <v>0.122195039062654</v>
      </c>
      <c r="D109" s="93">
        <v>6.186975639218098E-2</v>
      </c>
      <c r="E109" s="93">
        <v>1.2373951278436197E-2</v>
      </c>
      <c r="F109" s="93">
        <v>7.4243707670617179E-2</v>
      </c>
      <c r="G109" s="93">
        <v>9.4620320307356245E-2</v>
      </c>
      <c r="H109" s="93">
        <v>7.3045077001197015E-2</v>
      </c>
      <c r="I109" s="93">
        <v>5322.4327614571557</v>
      </c>
      <c r="J109" s="93">
        <v>25.163710316515516</v>
      </c>
      <c r="K109" s="93">
        <v>50.092356838313059</v>
      </c>
      <c r="L109" s="252">
        <v>0.77198086799879639</v>
      </c>
      <c r="M109" s="93">
        <v>1.1608639707974633E-3</v>
      </c>
      <c r="N109" s="84">
        <v>5.791493985272682E-3</v>
      </c>
      <c r="O109" s="84">
        <v>5.3198835020671674E-3</v>
      </c>
      <c r="P109" s="84">
        <v>6.2098371887858803E-3</v>
      </c>
      <c r="Q109" s="84">
        <v>5.7536333081047632E-3</v>
      </c>
      <c r="R109" s="84">
        <v>6.0468733641925567E-3</v>
      </c>
      <c r="S109" s="84">
        <v>6.1375323093469302E-3</v>
      </c>
      <c r="T109" s="84">
        <v>5.9982717967843923E-3</v>
      </c>
      <c r="U109" s="84">
        <v>6.491219934644717E-3</v>
      </c>
      <c r="V109" s="84">
        <v>5.6908901711039987E-3</v>
      </c>
      <c r="W109" s="84">
        <v>6.2829184989565186E-3</v>
      </c>
      <c r="X109" s="84">
        <v>5.5236281049851977E-3</v>
      </c>
      <c r="Y109" s="84">
        <v>5.7684590808975899E-3</v>
      </c>
      <c r="Z109" s="84"/>
      <c r="AA109" s="84">
        <v>4.5305868879029513E-3</v>
      </c>
      <c r="AB109" s="84">
        <v>3.9877959707615039E-3</v>
      </c>
      <c r="AC109" s="84">
        <v>4.060252837176143E-3</v>
      </c>
      <c r="AD109" s="84">
        <v>4.1656427829458061E-3</v>
      </c>
      <c r="AE109" s="84">
        <v>4.2807828443302267E-3</v>
      </c>
      <c r="AF109" s="84">
        <v>3.9977095405229514E-3</v>
      </c>
      <c r="AG109" s="84">
        <v>4.5791858507346263E-3</v>
      </c>
      <c r="AH109" s="84">
        <v>4.1537749754886333E-3</v>
      </c>
      <c r="AI109" s="84">
        <v>4.4526399145718648E-3</v>
      </c>
      <c r="AJ109" s="84">
        <v>4.0699662356853787E-3</v>
      </c>
      <c r="AK109" s="84">
        <v>4.3861784915572742E-3</v>
      </c>
      <c r="AL109" s="84">
        <v>4.515881485834229E-3</v>
      </c>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row>
    <row r="110" spans="1:131">
      <c r="A110" s="71"/>
      <c r="B110" s="71" t="s">
        <v>213</v>
      </c>
      <c r="C110" s="93">
        <v>0.40856744894267327</v>
      </c>
      <c r="D110" s="93">
        <v>0.28695076756749072</v>
      </c>
      <c r="E110" s="93">
        <v>5.7390153513498146E-2</v>
      </c>
      <c r="F110" s="93">
        <v>0.34434092108098885</v>
      </c>
      <c r="G110" s="93">
        <v>0.43884726759824555</v>
      </c>
      <c r="H110" s="93">
        <v>0.2719058156148545</v>
      </c>
      <c r="I110" s="93">
        <v>7382.9338986148696</v>
      </c>
      <c r="J110" s="93">
        <v>33.782487620862213</v>
      </c>
      <c r="K110" s="93">
        <v>68.36189100668895</v>
      </c>
      <c r="L110" s="252">
        <v>0.61959133168888902</v>
      </c>
      <c r="M110" s="93">
        <v>3.8814274949997602E-3</v>
      </c>
      <c r="N110" s="84">
        <v>2.5619276640318073E-2</v>
      </c>
      <c r="O110" s="84">
        <v>2.3035885508767749E-2</v>
      </c>
      <c r="P110" s="84">
        <v>2.6508382260233925E-2</v>
      </c>
      <c r="Q110" s="84">
        <v>2.4661303664521034E-2</v>
      </c>
      <c r="R110" s="84">
        <v>2.5177730452551055E-2</v>
      </c>
      <c r="S110" s="84">
        <v>2.4922544953042924E-2</v>
      </c>
      <c r="T110" s="84">
        <v>2.3676843137514746E-2</v>
      </c>
      <c r="U110" s="84">
        <v>2.4670371448983947E-2</v>
      </c>
      <c r="V110" s="84">
        <v>2.3050012845607926E-2</v>
      </c>
      <c r="W110" s="84">
        <v>2.6281394601274589E-2</v>
      </c>
      <c r="X110" s="84">
        <v>2.3257605326652456E-2</v>
      </c>
      <c r="Y110" s="84">
        <v>2.5321452314785924E-2</v>
      </c>
      <c r="Z110" s="84"/>
      <c r="AA110" s="84">
        <v>1.0876911867778406E-2</v>
      </c>
      <c r="AB110" s="84">
        <v>9.3451234338803989E-3</v>
      </c>
      <c r="AC110" s="84">
        <v>8.9639408476197713E-3</v>
      </c>
      <c r="AD110" s="84">
        <v>9.359848697300506E-3</v>
      </c>
      <c r="AE110" s="84">
        <v>9.1832665131278673E-3</v>
      </c>
      <c r="AF110" s="84">
        <v>8.0580617014543339E-3</v>
      </c>
      <c r="AG110" s="84">
        <v>9.4611887449746294E-3</v>
      </c>
      <c r="AH110" s="84">
        <v>7.7591317694293846E-3</v>
      </c>
      <c r="AI110" s="84">
        <v>9.5523328492308594E-3</v>
      </c>
      <c r="AJ110" s="84">
        <v>8.579484992649055E-3</v>
      </c>
      <c r="AK110" s="84">
        <v>1.0293618997607317E-2</v>
      </c>
      <c r="AL110" s="84">
        <v>1.095173537336633E-2</v>
      </c>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row>
    <row r="111" spans="1:131">
      <c r="A111" s="71"/>
      <c r="B111" s="71" t="s">
        <v>216</v>
      </c>
      <c r="C111" s="93">
        <v>0.4935735987717369</v>
      </c>
      <c r="D111" s="93">
        <v>0.37493610579792752</v>
      </c>
      <c r="E111" s="93">
        <v>7.4987221159585504E-2</v>
      </c>
      <c r="F111" s="93">
        <v>0.44992332695751303</v>
      </c>
      <c r="G111" s="93">
        <v>0.57340737210137438</v>
      </c>
      <c r="H111" s="93">
        <v>0.32847827766822058</v>
      </c>
      <c r="I111" s="93">
        <v>7985.290043786481</v>
      </c>
      <c r="J111" s="93">
        <v>37.409519129108098</v>
      </c>
      <c r="K111" s="93">
        <v>74.81017439282698</v>
      </c>
      <c r="L111" s="252">
        <v>0.57287952507205286</v>
      </c>
      <c r="M111" s="93">
        <v>4.6889935603935074E-3</v>
      </c>
      <c r="N111" s="84">
        <v>3.0949598657490522E-2</v>
      </c>
      <c r="O111" s="84">
        <v>2.7828709655848112E-2</v>
      </c>
      <c r="P111" s="84">
        <v>3.2023690736156372E-2</v>
      </c>
      <c r="Q111" s="84">
        <v>2.979231074722296E-2</v>
      </c>
      <c r="R111" s="84">
        <v>3.0416184795265075E-2</v>
      </c>
      <c r="S111" s="84">
        <v>3.0107905646565038E-2</v>
      </c>
      <c r="T111" s="84">
        <v>2.8603024311358621E-2</v>
      </c>
      <c r="U111" s="84">
        <v>2.9803265166185668E-2</v>
      </c>
      <c r="V111" s="84">
        <v>2.7845776312781532E-2</v>
      </c>
      <c r="W111" s="84">
        <v>3.1749476243545016E-2</v>
      </c>
      <c r="X111" s="84">
        <v>2.8096560285445681E-2</v>
      </c>
      <c r="Y111" s="84">
        <v>3.0589809289700492E-2</v>
      </c>
      <c r="Z111" s="84"/>
      <c r="AA111" s="84">
        <v>1.3139951672595615E-2</v>
      </c>
      <c r="AB111" s="84">
        <v>1.1289460812806034E-2</v>
      </c>
      <c r="AC111" s="84">
        <v>1.0828969744864463E-2</v>
      </c>
      <c r="AD111" s="84">
        <v>1.1307249800347585E-2</v>
      </c>
      <c r="AE111" s="84">
        <v>1.1093928097048377E-2</v>
      </c>
      <c r="AF111" s="84">
        <v>9.7346142562364894E-3</v>
      </c>
      <c r="AG111" s="84">
        <v>1.1429674560713738E-2</v>
      </c>
      <c r="AH111" s="84">
        <v>9.37348925053187E-3</v>
      </c>
      <c r="AI111" s="84">
        <v>1.1539782019496842E-2</v>
      </c>
      <c r="AJ111" s="84">
        <v>1.0364524375078316E-2</v>
      </c>
      <c r="AK111" s="84">
        <v>1.2435299449778338E-2</v>
      </c>
      <c r="AL111" s="84">
        <v>1.3230342884674116E-2</v>
      </c>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row>
    <row r="112" spans="1:131">
      <c r="A112" s="71"/>
      <c r="B112" s="71" t="s">
        <v>219</v>
      </c>
      <c r="C112" s="93">
        <v>0.2282351341072287</v>
      </c>
      <c r="D112" s="93">
        <v>0.18910628303221816</v>
      </c>
      <c r="E112" s="93">
        <v>3.7821256606443636E-2</v>
      </c>
      <c r="F112" s="93">
        <v>0.2269275396386618</v>
      </c>
      <c r="G112" s="93">
        <v>0.28920910823084123</v>
      </c>
      <c r="H112" s="93">
        <v>0.14517492970477103</v>
      </c>
      <c r="I112" s="93">
        <v>8709.8126018614439</v>
      </c>
      <c r="J112" s="93">
        <v>44.495916626880422</v>
      </c>
      <c r="K112" s="93">
        <v>85.290013866628044</v>
      </c>
      <c r="L112" s="252">
        <v>0.50195975226279943</v>
      </c>
      <c r="M112" s="93">
        <v>2.1682466631050955E-3</v>
      </c>
      <c r="N112" s="84">
        <v>1.5712057961693671E-2</v>
      </c>
      <c r="O112" s="84">
        <v>1.4283126837215849E-2</v>
      </c>
      <c r="P112" s="84">
        <v>1.6042337667808847E-2</v>
      </c>
      <c r="Q112" s="84">
        <v>1.5099626544036376E-2</v>
      </c>
      <c r="R112" s="84">
        <v>1.5434503905880911E-2</v>
      </c>
      <c r="S112" s="84">
        <v>1.5004480960406529E-2</v>
      </c>
      <c r="T112" s="84">
        <v>1.3729621792187681E-2</v>
      </c>
      <c r="U112" s="84">
        <v>1.5265635088804979E-2</v>
      </c>
      <c r="V112" s="84">
        <v>1.507664363176673E-2</v>
      </c>
      <c r="W112" s="84">
        <v>1.6159519236341506E-2</v>
      </c>
      <c r="X112" s="84">
        <v>1.3881005655755261E-2</v>
      </c>
      <c r="Y112" s="84">
        <v>1.4673138588154406E-2</v>
      </c>
      <c r="Z112" s="84"/>
      <c r="AA112" s="84">
        <v>5.4870995191621322E-3</v>
      </c>
      <c r="AB112" s="84">
        <v>4.4187678152890521E-3</v>
      </c>
      <c r="AC112" s="84">
        <v>3.9873007054797112E-3</v>
      </c>
      <c r="AD112" s="84">
        <v>3.8121445668483568E-3</v>
      </c>
      <c r="AE112" s="84">
        <v>3.5968606820569902E-3</v>
      </c>
      <c r="AF112" s="84">
        <v>3.153162681375379E-3</v>
      </c>
      <c r="AG112" s="84">
        <v>3.5269900406973611E-3</v>
      </c>
      <c r="AH112" s="84">
        <v>3.0926846473947837E-3</v>
      </c>
      <c r="AI112" s="84">
        <v>3.8589039339089731E-3</v>
      </c>
      <c r="AJ112" s="84">
        <v>3.3083793479342996E-3</v>
      </c>
      <c r="AK112" s="84">
        <v>4.3590957482896242E-3</v>
      </c>
      <c r="AL112" s="84">
        <v>5.2720465487392796E-3</v>
      </c>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row>
    <row r="113" spans="1:131">
      <c r="A113" s="71"/>
      <c r="B113" s="71" t="s">
        <v>222</v>
      </c>
      <c r="C113" s="280">
        <v>0</v>
      </c>
      <c r="D113" s="280">
        <v>0</v>
      </c>
      <c r="E113" s="280">
        <v>0</v>
      </c>
      <c r="F113" s="280">
        <v>0</v>
      </c>
      <c r="G113" s="280">
        <v>0</v>
      </c>
      <c r="H113" s="280">
        <v>0</v>
      </c>
      <c r="I113" s="280">
        <v>0</v>
      </c>
      <c r="J113" s="280">
        <v>0</v>
      </c>
      <c r="K113" s="280">
        <v>0</v>
      </c>
      <c r="L113" s="281">
        <v>0</v>
      </c>
      <c r="M113" s="280">
        <v>0</v>
      </c>
      <c r="N113" s="280">
        <v>0</v>
      </c>
      <c r="O113" s="280">
        <v>0</v>
      </c>
      <c r="P113" s="280">
        <v>0</v>
      </c>
      <c r="Q113" s="280">
        <v>0</v>
      </c>
      <c r="R113" s="280">
        <v>0</v>
      </c>
      <c r="S113" s="280">
        <v>0</v>
      </c>
      <c r="T113" s="280">
        <v>0</v>
      </c>
      <c r="U113" s="280">
        <v>0</v>
      </c>
      <c r="V113" s="280">
        <v>0</v>
      </c>
      <c r="W113" s="280">
        <v>0</v>
      </c>
      <c r="X113" s="280">
        <v>0</v>
      </c>
      <c r="Y113" s="280">
        <v>0</v>
      </c>
      <c r="Z113" s="280"/>
      <c r="AA113" s="280">
        <v>0</v>
      </c>
      <c r="AB113" s="280">
        <v>0</v>
      </c>
      <c r="AC113" s="280">
        <v>0</v>
      </c>
      <c r="AD113" s="280">
        <v>0</v>
      </c>
      <c r="AE113" s="280">
        <v>0</v>
      </c>
      <c r="AF113" s="280">
        <v>0</v>
      </c>
      <c r="AG113" s="280">
        <v>0</v>
      </c>
      <c r="AH113" s="280">
        <v>0</v>
      </c>
      <c r="AI113" s="280">
        <v>0</v>
      </c>
      <c r="AJ113" s="280">
        <v>0</v>
      </c>
      <c r="AK113" s="280">
        <v>0</v>
      </c>
      <c r="AL113" s="280">
        <v>0</v>
      </c>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row>
    <row r="114" spans="1:131">
      <c r="A114" s="71"/>
      <c r="B114" s="71" t="s">
        <v>225</v>
      </c>
      <c r="C114" s="280">
        <v>0</v>
      </c>
      <c r="D114" s="280">
        <v>0</v>
      </c>
      <c r="E114" s="280">
        <v>0</v>
      </c>
      <c r="F114" s="280">
        <v>0</v>
      </c>
      <c r="G114" s="280">
        <v>0</v>
      </c>
      <c r="H114" s="280">
        <v>0</v>
      </c>
      <c r="I114" s="280">
        <v>0</v>
      </c>
      <c r="J114" s="280">
        <v>0</v>
      </c>
      <c r="K114" s="280">
        <v>0</v>
      </c>
      <c r="L114" s="281">
        <v>0</v>
      </c>
      <c r="M114" s="280">
        <v>0</v>
      </c>
      <c r="N114" s="280">
        <v>0</v>
      </c>
      <c r="O114" s="280">
        <v>0</v>
      </c>
      <c r="P114" s="280">
        <v>0</v>
      </c>
      <c r="Q114" s="280">
        <v>0</v>
      </c>
      <c r="R114" s="280">
        <v>0</v>
      </c>
      <c r="S114" s="280">
        <v>0</v>
      </c>
      <c r="T114" s="280">
        <v>0</v>
      </c>
      <c r="U114" s="280">
        <v>0</v>
      </c>
      <c r="V114" s="280">
        <v>0</v>
      </c>
      <c r="W114" s="280">
        <v>0</v>
      </c>
      <c r="X114" s="280">
        <v>0</v>
      </c>
      <c r="Y114" s="280">
        <v>0</v>
      </c>
      <c r="Z114" s="280"/>
      <c r="AA114" s="280">
        <v>0</v>
      </c>
      <c r="AB114" s="280">
        <v>0</v>
      </c>
      <c r="AC114" s="280">
        <v>0</v>
      </c>
      <c r="AD114" s="280">
        <v>0</v>
      </c>
      <c r="AE114" s="280">
        <v>0</v>
      </c>
      <c r="AF114" s="280">
        <v>0</v>
      </c>
      <c r="AG114" s="280">
        <v>0</v>
      </c>
      <c r="AH114" s="280">
        <v>0</v>
      </c>
      <c r="AI114" s="280">
        <v>0</v>
      </c>
      <c r="AJ114" s="280">
        <v>0</v>
      </c>
      <c r="AK114" s="280">
        <v>0</v>
      </c>
      <c r="AL114" s="280">
        <v>0</v>
      </c>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row>
    <row r="115" spans="1:131">
      <c r="A115" s="71"/>
      <c r="B115" s="71" t="s">
        <v>228</v>
      </c>
      <c r="C115" s="280">
        <v>0</v>
      </c>
      <c r="D115" s="280">
        <v>0</v>
      </c>
      <c r="E115" s="280">
        <v>0</v>
      </c>
      <c r="F115" s="280">
        <v>0</v>
      </c>
      <c r="G115" s="280">
        <v>0</v>
      </c>
      <c r="H115" s="280">
        <v>0</v>
      </c>
      <c r="I115" s="280">
        <v>0</v>
      </c>
      <c r="J115" s="280">
        <v>0</v>
      </c>
      <c r="K115" s="280">
        <v>0</v>
      </c>
      <c r="L115" s="281">
        <v>0</v>
      </c>
      <c r="M115" s="280">
        <v>0</v>
      </c>
      <c r="N115" s="280">
        <v>0</v>
      </c>
      <c r="O115" s="280">
        <v>0</v>
      </c>
      <c r="P115" s="280">
        <v>0</v>
      </c>
      <c r="Q115" s="280">
        <v>0</v>
      </c>
      <c r="R115" s="280">
        <v>0</v>
      </c>
      <c r="S115" s="280">
        <v>0</v>
      </c>
      <c r="T115" s="280">
        <v>0</v>
      </c>
      <c r="U115" s="280">
        <v>0</v>
      </c>
      <c r="V115" s="280">
        <v>0</v>
      </c>
      <c r="W115" s="280">
        <v>0</v>
      </c>
      <c r="X115" s="280">
        <v>0</v>
      </c>
      <c r="Y115" s="280">
        <v>0</v>
      </c>
      <c r="Z115" s="280"/>
      <c r="AA115" s="280">
        <v>0</v>
      </c>
      <c r="AB115" s="280">
        <v>0</v>
      </c>
      <c r="AC115" s="280">
        <v>0</v>
      </c>
      <c r="AD115" s="280">
        <v>0</v>
      </c>
      <c r="AE115" s="280">
        <v>0</v>
      </c>
      <c r="AF115" s="280">
        <v>0</v>
      </c>
      <c r="AG115" s="280">
        <v>0</v>
      </c>
      <c r="AH115" s="280">
        <v>0</v>
      </c>
      <c r="AI115" s="280">
        <v>0</v>
      </c>
      <c r="AJ115" s="280">
        <v>0</v>
      </c>
      <c r="AK115" s="280">
        <v>0</v>
      </c>
      <c r="AL115" s="280">
        <v>0</v>
      </c>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row>
    <row r="116" spans="1:131">
      <c r="A116" s="71"/>
      <c r="B116" s="71" t="s">
        <v>231</v>
      </c>
      <c r="C116" s="280">
        <v>0</v>
      </c>
      <c r="D116" s="280">
        <v>0</v>
      </c>
      <c r="E116" s="280">
        <v>0</v>
      </c>
      <c r="F116" s="280">
        <v>0</v>
      </c>
      <c r="G116" s="280">
        <v>0</v>
      </c>
      <c r="H116" s="280">
        <v>0</v>
      </c>
      <c r="I116" s="280">
        <v>0</v>
      </c>
      <c r="J116" s="280">
        <v>0</v>
      </c>
      <c r="K116" s="280">
        <v>0</v>
      </c>
      <c r="L116" s="281">
        <v>0</v>
      </c>
      <c r="M116" s="280">
        <v>0</v>
      </c>
      <c r="N116" s="280">
        <v>0</v>
      </c>
      <c r="O116" s="280">
        <v>0</v>
      </c>
      <c r="P116" s="280">
        <v>0</v>
      </c>
      <c r="Q116" s="280">
        <v>0</v>
      </c>
      <c r="R116" s="280">
        <v>0</v>
      </c>
      <c r="S116" s="280">
        <v>0</v>
      </c>
      <c r="T116" s="280">
        <v>0</v>
      </c>
      <c r="U116" s="280">
        <v>0</v>
      </c>
      <c r="V116" s="280">
        <v>0</v>
      </c>
      <c r="W116" s="280">
        <v>0</v>
      </c>
      <c r="X116" s="280">
        <v>0</v>
      </c>
      <c r="Y116" s="280">
        <v>0</v>
      </c>
      <c r="Z116" s="280"/>
      <c r="AA116" s="280">
        <v>0</v>
      </c>
      <c r="AB116" s="280">
        <v>0</v>
      </c>
      <c r="AC116" s="280">
        <v>0</v>
      </c>
      <c r="AD116" s="280">
        <v>0</v>
      </c>
      <c r="AE116" s="280">
        <v>0</v>
      </c>
      <c r="AF116" s="280">
        <v>0</v>
      </c>
      <c r="AG116" s="280">
        <v>0</v>
      </c>
      <c r="AH116" s="280">
        <v>0</v>
      </c>
      <c r="AI116" s="280">
        <v>0</v>
      </c>
      <c r="AJ116" s="280">
        <v>0</v>
      </c>
      <c r="AK116" s="280">
        <v>0</v>
      </c>
      <c r="AL116" s="280">
        <v>0</v>
      </c>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c r="BP116" s="93"/>
      <c r="BQ116" s="93"/>
      <c r="BR116" s="93"/>
      <c r="BS116" s="93"/>
      <c r="BT116" s="93"/>
      <c r="BU116" s="93"/>
      <c r="BV116" s="93"/>
      <c r="BW116" s="93"/>
      <c r="BX116" s="93"/>
      <c r="BY116" s="93"/>
      <c r="BZ116" s="93"/>
      <c r="CA116" s="93"/>
      <c r="CB116" s="93"/>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row>
    <row r="117" spans="1:131">
      <c r="A117" s="71"/>
      <c r="B117" s="71" t="s">
        <v>234</v>
      </c>
      <c r="C117" s="280">
        <v>0</v>
      </c>
      <c r="D117" s="280">
        <v>0</v>
      </c>
      <c r="E117" s="280">
        <v>0</v>
      </c>
      <c r="F117" s="280">
        <v>0</v>
      </c>
      <c r="G117" s="280">
        <v>0</v>
      </c>
      <c r="H117" s="280">
        <v>0</v>
      </c>
      <c r="I117" s="280">
        <v>0</v>
      </c>
      <c r="J117" s="280">
        <v>0</v>
      </c>
      <c r="K117" s="280">
        <v>0</v>
      </c>
      <c r="L117" s="281">
        <v>0</v>
      </c>
      <c r="M117" s="280">
        <v>0</v>
      </c>
      <c r="N117" s="280">
        <v>0</v>
      </c>
      <c r="O117" s="280">
        <v>0</v>
      </c>
      <c r="P117" s="280">
        <v>0</v>
      </c>
      <c r="Q117" s="280">
        <v>0</v>
      </c>
      <c r="R117" s="280">
        <v>0</v>
      </c>
      <c r="S117" s="280">
        <v>0</v>
      </c>
      <c r="T117" s="280">
        <v>0</v>
      </c>
      <c r="U117" s="280">
        <v>0</v>
      </c>
      <c r="V117" s="280">
        <v>0</v>
      </c>
      <c r="W117" s="280">
        <v>0</v>
      </c>
      <c r="X117" s="280">
        <v>0</v>
      </c>
      <c r="Y117" s="280">
        <v>0</v>
      </c>
      <c r="Z117" s="280"/>
      <c r="AA117" s="280">
        <v>0</v>
      </c>
      <c r="AB117" s="280">
        <v>0</v>
      </c>
      <c r="AC117" s="280">
        <v>0</v>
      </c>
      <c r="AD117" s="280">
        <v>0</v>
      </c>
      <c r="AE117" s="280">
        <v>0</v>
      </c>
      <c r="AF117" s="280">
        <v>0</v>
      </c>
      <c r="AG117" s="280">
        <v>0</v>
      </c>
      <c r="AH117" s="280">
        <v>0</v>
      </c>
      <c r="AI117" s="280">
        <v>0</v>
      </c>
      <c r="AJ117" s="280">
        <v>0</v>
      </c>
      <c r="AK117" s="280">
        <v>0</v>
      </c>
      <c r="AL117" s="280">
        <v>0</v>
      </c>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row>
    <row r="118" spans="1:131">
      <c r="A118" s="71"/>
      <c r="B118" s="71" t="s">
        <v>237</v>
      </c>
      <c r="C118" s="280">
        <v>0</v>
      </c>
      <c r="D118" s="280">
        <v>0</v>
      </c>
      <c r="E118" s="280">
        <v>0</v>
      </c>
      <c r="F118" s="280">
        <v>0</v>
      </c>
      <c r="G118" s="280">
        <v>0</v>
      </c>
      <c r="H118" s="280">
        <v>0</v>
      </c>
      <c r="I118" s="280">
        <v>0</v>
      </c>
      <c r="J118" s="280">
        <v>0</v>
      </c>
      <c r="K118" s="280">
        <v>0</v>
      </c>
      <c r="L118" s="281">
        <v>0</v>
      </c>
      <c r="M118" s="280">
        <v>0</v>
      </c>
      <c r="N118" s="280">
        <v>0</v>
      </c>
      <c r="O118" s="280">
        <v>0</v>
      </c>
      <c r="P118" s="280">
        <v>0</v>
      </c>
      <c r="Q118" s="280">
        <v>0</v>
      </c>
      <c r="R118" s="280">
        <v>0</v>
      </c>
      <c r="S118" s="280">
        <v>0</v>
      </c>
      <c r="T118" s="280">
        <v>0</v>
      </c>
      <c r="U118" s="280">
        <v>0</v>
      </c>
      <c r="V118" s="280">
        <v>0</v>
      </c>
      <c r="W118" s="280">
        <v>0</v>
      </c>
      <c r="X118" s="280">
        <v>0</v>
      </c>
      <c r="Y118" s="280">
        <v>0</v>
      </c>
      <c r="Z118" s="280"/>
      <c r="AA118" s="280">
        <v>0</v>
      </c>
      <c r="AB118" s="280">
        <v>0</v>
      </c>
      <c r="AC118" s="280">
        <v>0</v>
      </c>
      <c r="AD118" s="280">
        <v>0</v>
      </c>
      <c r="AE118" s="280">
        <v>0</v>
      </c>
      <c r="AF118" s="280">
        <v>0</v>
      </c>
      <c r="AG118" s="280">
        <v>0</v>
      </c>
      <c r="AH118" s="280">
        <v>0</v>
      </c>
      <c r="AI118" s="280">
        <v>0</v>
      </c>
      <c r="AJ118" s="280">
        <v>0</v>
      </c>
      <c r="AK118" s="280">
        <v>0</v>
      </c>
      <c r="AL118" s="280">
        <v>0</v>
      </c>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row>
    <row r="119" spans="1:131">
      <c r="A119" s="71"/>
      <c r="B119" s="71" t="s">
        <v>240</v>
      </c>
      <c r="C119" s="280">
        <v>0</v>
      </c>
      <c r="D119" s="280">
        <v>0</v>
      </c>
      <c r="E119" s="280">
        <v>0</v>
      </c>
      <c r="F119" s="280">
        <v>0</v>
      </c>
      <c r="G119" s="280">
        <v>0</v>
      </c>
      <c r="H119" s="280">
        <v>0</v>
      </c>
      <c r="I119" s="280">
        <v>0</v>
      </c>
      <c r="J119" s="280">
        <v>0</v>
      </c>
      <c r="K119" s="280">
        <v>0</v>
      </c>
      <c r="L119" s="281">
        <v>0</v>
      </c>
      <c r="M119" s="280">
        <v>0</v>
      </c>
      <c r="N119" s="280">
        <v>0</v>
      </c>
      <c r="O119" s="280">
        <v>0</v>
      </c>
      <c r="P119" s="280">
        <v>0</v>
      </c>
      <c r="Q119" s="280">
        <v>0</v>
      </c>
      <c r="R119" s="280">
        <v>0</v>
      </c>
      <c r="S119" s="280">
        <v>0</v>
      </c>
      <c r="T119" s="280">
        <v>0</v>
      </c>
      <c r="U119" s="280">
        <v>0</v>
      </c>
      <c r="V119" s="280">
        <v>0</v>
      </c>
      <c r="W119" s="280">
        <v>0</v>
      </c>
      <c r="X119" s="280">
        <v>0</v>
      </c>
      <c r="Y119" s="280">
        <v>0</v>
      </c>
      <c r="Z119" s="280"/>
      <c r="AA119" s="280">
        <v>0</v>
      </c>
      <c r="AB119" s="280">
        <v>0</v>
      </c>
      <c r="AC119" s="280">
        <v>0</v>
      </c>
      <c r="AD119" s="280">
        <v>0</v>
      </c>
      <c r="AE119" s="280">
        <v>0</v>
      </c>
      <c r="AF119" s="280">
        <v>0</v>
      </c>
      <c r="AG119" s="280">
        <v>0</v>
      </c>
      <c r="AH119" s="280">
        <v>0</v>
      </c>
      <c r="AI119" s="280">
        <v>0</v>
      </c>
      <c r="AJ119" s="280">
        <v>0</v>
      </c>
      <c r="AK119" s="280">
        <v>0</v>
      </c>
      <c r="AL119" s="280">
        <v>0</v>
      </c>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row>
    <row r="120" spans="1:131">
      <c r="A120" s="71"/>
      <c r="B120" s="71" t="s">
        <v>243</v>
      </c>
      <c r="C120" s="280">
        <v>0</v>
      </c>
      <c r="D120" s="280">
        <v>0</v>
      </c>
      <c r="E120" s="280">
        <v>0</v>
      </c>
      <c r="F120" s="280">
        <v>0</v>
      </c>
      <c r="G120" s="280">
        <v>0</v>
      </c>
      <c r="H120" s="280">
        <v>0</v>
      </c>
      <c r="I120" s="280">
        <v>0</v>
      </c>
      <c r="J120" s="280">
        <v>0</v>
      </c>
      <c r="K120" s="280">
        <v>0</v>
      </c>
      <c r="L120" s="281">
        <v>0</v>
      </c>
      <c r="M120" s="280">
        <v>0</v>
      </c>
      <c r="N120" s="280">
        <v>0</v>
      </c>
      <c r="O120" s="280">
        <v>0</v>
      </c>
      <c r="P120" s="280">
        <v>0</v>
      </c>
      <c r="Q120" s="280">
        <v>0</v>
      </c>
      <c r="R120" s="280">
        <v>0</v>
      </c>
      <c r="S120" s="280">
        <v>0</v>
      </c>
      <c r="T120" s="280">
        <v>0</v>
      </c>
      <c r="U120" s="280">
        <v>0</v>
      </c>
      <c r="V120" s="280">
        <v>0</v>
      </c>
      <c r="W120" s="280">
        <v>0</v>
      </c>
      <c r="X120" s="280">
        <v>0</v>
      </c>
      <c r="Y120" s="280">
        <v>0</v>
      </c>
      <c r="Z120" s="280"/>
      <c r="AA120" s="280">
        <v>0</v>
      </c>
      <c r="AB120" s="280">
        <v>0</v>
      </c>
      <c r="AC120" s="280">
        <v>0</v>
      </c>
      <c r="AD120" s="280">
        <v>0</v>
      </c>
      <c r="AE120" s="280">
        <v>0</v>
      </c>
      <c r="AF120" s="280">
        <v>0</v>
      </c>
      <c r="AG120" s="280">
        <v>0</v>
      </c>
      <c r="AH120" s="280">
        <v>0</v>
      </c>
      <c r="AI120" s="280">
        <v>0</v>
      </c>
      <c r="AJ120" s="280">
        <v>0</v>
      </c>
      <c r="AK120" s="280">
        <v>0</v>
      </c>
      <c r="AL120" s="280">
        <v>0</v>
      </c>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row>
    <row r="121" spans="1:131">
      <c r="A121" s="71"/>
      <c r="B121" s="71" t="s">
        <v>246</v>
      </c>
      <c r="C121" s="280">
        <v>0</v>
      </c>
      <c r="D121" s="280">
        <v>0</v>
      </c>
      <c r="E121" s="280">
        <v>0</v>
      </c>
      <c r="F121" s="280">
        <v>0</v>
      </c>
      <c r="G121" s="280">
        <v>0</v>
      </c>
      <c r="H121" s="280">
        <v>0</v>
      </c>
      <c r="I121" s="280">
        <v>0</v>
      </c>
      <c r="J121" s="280">
        <v>0</v>
      </c>
      <c r="K121" s="280">
        <v>0</v>
      </c>
      <c r="L121" s="281">
        <v>0</v>
      </c>
      <c r="M121" s="280">
        <v>0</v>
      </c>
      <c r="N121" s="280">
        <v>0</v>
      </c>
      <c r="O121" s="280">
        <v>0</v>
      </c>
      <c r="P121" s="280">
        <v>0</v>
      </c>
      <c r="Q121" s="280">
        <v>0</v>
      </c>
      <c r="R121" s="280">
        <v>0</v>
      </c>
      <c r="S121" s="280">
        <v>0</v>
      </c>
      <c r="T121" s="280">
        <v>0</v>
      </c>
      <c r="U121" s="280">
        <v>0</v>
      </c>
      <c r="V121" s="280">
        <v>0</v>
      </c>
      <c r="W121" s="280">
        <v>0</v>
      </c>
      <c r="X121" s="280">
        <v>0</v>
      </c>
      <c r="Y121" s="280">
        <v>0</v>
      </c>
      <c r="Z121" s="280"/>
      <c r="AA121" s="280">
        <v>0</v>
      </c>
      <c r="AB121" s="280">
        <v>0</v>
      </c>
      <c r="AC121" s="280">
        <v>0</v>
      </c>
      <c r="AD121" s="280">
        <v>0</v>
      </c>
      <c r="AE121" s="280">
        <v>0</v>
      </c>
      <c r="AF121" s="280">
        <v>0</v>
      </c>
      <c r="AG121" s="280">
        <v>0</v>
      </c>
      <c r="AH121" s="280">
        <v>0</v>
      </c>
      <c r="AI121" s="280">
        <v>0</v>
      </c>
      <c r="AJ121" s="280">
        <v>0</v>
      </c>
      <c r="AK121" s="280">
        <v>0</v>
      </c>
      <c r="AL121" s="280">
        <v>0</v>
      </c>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row>
    <row r="122" spans="1:131">
      <c r="A122" s="71"/>
      <c r="B122" s="71" t="s">
        <v>249</v>
      </c>
      <c r="C122" s="280">
        <v>0</v>
      </c>
      <c r="D122" s="280">
        <v>0</v>
      </c>
      <c r="E122" s="280">
        <v>0</v>
      </c>
      <c r="F122" s="280">
        <v>0</v>
      </c>
      <c r="G122" s="280">
        <v>0</v>
      </c>
      <c r="H122" s="280">
        <v>0</v>
      </c>
      <c r="I122" s="280">
        <v>0</v>
      </c>
      <c r="J122" s="280">
        <v>0</v>
      </c>
      <c r="K122" s="280">
        <v>0</v>
      </c>
      <c r="L122" s="281">
        <v>0</v>
      </c>
      <c r="M122" s="280">
        <v>0</v>
      </c>
      <c r="N122" s="280">
        <v>0</v>
      </c>
      <c r="O122" s="280">
        <v>0</v>
      </c>
      <c r="P122" s="280">
        <v>0</v>
      </c>
      <c r="Q122" s="280">
        <v>0</v>
      </c>
      <c r="R122" s="280">
        <v>0</v>
      </c>
      <c r="S122" s="280">
        <v>0</v>
      </c>
      <c r="T122" s="280">
        <v>0</v>
      </c>
      <c r="U122" s="280">
        <v>0</v>
      </c>
      <c r="V122" s="280">
        <v>0</v>
      </c>
      <c r="W122" s="280">
        <v>0</v>
      </c>
      <c r="X122" s="280">
        <v>0</v>
      </c>
      <c r="Y122" s="280">
        <v>0</v>
      </c>
      <c r="Z122" s="280"/>
      <c r="AA122" s="280">
        <v>0</v>
      </c>
      <c r="AB122" s="280">
        <v>0</v>
      </c>
      <c r="AC122" s="280">
        <v>0</v>
      </c>
      <c r="AD122" s="280">
        <v>0</v>
      </c>
      <c r="AE122" s="280">
        <v>0</v>
      </c>
      <c r="AF122" s="280">
        <v>0</v>
      </c>
      <c r="AG122" s="280">
        <v>0</v>
      </c>
      <c r="AH122" s="280">
        <v>0</v>
      </c>
      <c r="AI122" s="280">
        <v>0</v>
      </c>
      <c r="AJ122" s="280">
        <v>0</v>
      </c>
      <c r="AK122" s="280">
        <v>0</v>
      </c>
      <c r="AL122" s="280">
        <v>0</v>
      </c>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row>
    <row r="123" spans="1:131">
      <c r="A123" s="71"/>
      <c r="B123" s="71" t="s">
        <v>252</v>
      </c>
      <c r="C123" s="280">
        <v>0</v>
      </c>
      <c r="D123" s="280">
        <v>0</v>
      </c>
      <c r="E123" s="280">
        <v>0</v>
      </c>
      <c r="F123" s="280">
        <v>0</v>
      </c>
      <c r="G123" s="280">
        <v>0</v>
      </c>
      <c r="H123" s="280">
        <v>0</v>
      </c>
      <c r="I123" s="280">
        <v>0</v>
      </c>
      <c r="J123" s="280">
        <v>0</v>
      </c>
      <c r="K123" s="280">
        <v>0</v>
      </c>
      <c r="L123" s="281">
        <v>0</v>
      </c>
      <c r="M123" s="280">
        <v>0</v>
      </c>
      <c r="N123" s="280">
        <v>0</v>
      </c>
      <c r="O123" s="280">
        <v>0</v>
      </c>
      <c r="P123" s="280">
        <v>0</v>
      </c>
      <c r="Q123" s="280">
        <v>0</v>
      </c>
      <c r="R123" s="280">
        <v>0</v>
      </c>
      <c r="S123" s="280">
        <v>0</v>
      </c>
      <c r="T123" s="280">
        <v>0</v>
      </c>
      <c r="U123" s="280">
        <v>0</v>
      </c>
      <c r="V123" s="280">
        <v>0</v>
      </c>
      <c r="W123" s="280">
        <v>0</v>
      </c>
      <c r="X123" s="280">
        <v>0</v>
      </c>
      <c r="Y123" s="280">
        <v>0</v>
      </c>
      <c r="Z123" s="280"/>
      <c r="AA123" s="280">
        <v>0</v>
      </c>
      <c r="AB123" s="280">
        <v>0</v>
      </c>
      <c r="AC123" s="280">
        <v>0</v>
      </c>
      <c r="AD123" s="280">
        <v>0</v>
      </c>
      <c r="AE123" s="280">
        <v>0</v>
      </c>
      <c r="AF123" s="280">
        <v>0</v>
      </c>
      <c r="AG123" s="280">
        <v>0</v>
      </c>
      <c r="AH123" s="280">
        <v>0</v>
      </c>
      <c r="AI123" s="280">
        <v>0</v>
      </c>
      <c r="AJ123" s="280">
        <v>0</v>
      </c>
      <c r="AK123" s="280">
        <v>0</v>
      </c>
      <c r="AL123" s="280">
        <v>0</v>
      </c>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row>
    <row r="124" spans="1:131">
      <c r="A124" s="71"/>
      <c r="B124" s="71" t="s">
        <v>289</v>
      </c>
      <c r="C124" s="280">
        <v>0</v>
      </c>
      <c r="D124" s="280">
        <v>0</v>
      </c>
      <c r="E124" s="280">
        <v>0</v>
      </c>
      <c r="F124" s="280">
        <v>0</v>
      </c>
      <c r="G124" s="280">
        <v>0</v>
      </c>
      <c r="H124" s="280">
        <v>0</v>
      </c>
      <c r="I124" s="280">
        <v>0</v>
      </c>
      <c r="J124" s="280">
        <v>0</v>
      </c>
      <c r="K124" s="280">
        <v>0</v>
      </c>
      <c r="L124" s="281">
        <v>0</v>
      </c>
      <c r="M124" s="280">
        <v>0</v>
      </c>
      <c r="N124" s="280">
        <v>0</v>
      </c>
      <c r="O124" s="280">
        <v>0</v>
      </c>
      <c r="P124" s="280">
        <v>0</v>
      </c>
      <c r="Q124" s="280">
        <v>0</v>
      </c>
      <c r="R124" s="280">
        <v>0</v>
      </c>
      <c r="S124" s="280">
        <v>0</v>
      </c>
      <c r="T124" s="280">
        <v>0</v>
      </c>
      <c r="U124" s="280">
        <v>0</v>
      </c>
      <c r="V124" s="280">
        <v>0</v>
      </c>
      <c r="W124" s="280">
        <v>0</v>
      </c>
      <c r="X124" s="280">
        <v>0</v>
      </c>
      <c r="Y124" s="280">
        <v>0</v>
      </c>
      <c r="Z124" s="280"/>
      <c r="AA124" s="280">
        <v>0</v>
      </c>
      <c r="AB124" s="280">
        <v>0</v>
      </c>
      <c r="AC124" s="280">
        <v>0</v>
      </c>
      <c r="AD124" s="280">
        <v>0</v>
      </c>
      <c r="AE124" s="280">
        <v>0</v>
      </c>
      <c r="AF124" s="280">
        <v>0</v>
      </c>
      <c r="AG124" s="280">
        <v>0</v>
      </c>
      <c r="AH124" s="280">
        <v>0</v>
      </c>
      <c r="AI124" s="280">
        <v>0</v>
      </c>
      <c r="AJ124" s="280">
        <v>0</v>
      </c>
      <c r="AK124" s="280">
        <v>0</v>
      </c>
      <c r="AL124" s="280">
        <v>0</v>
      </c>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c r="CN124" s="93"/>
      <c r="CO124" s="93"/>
      <c r="CP124" s="93"/>
      <c r="CQ124" s="93"/>
      <c r="CR124" s="93"/>
      <c r="CS124" s="93"/>
      <c r="CT124" s="93"/>
      <c r="CU124" s="93"/>
      <c r="CV124" s="93"/>
      <c r="CW124" s="93"/>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row>
    <row r="125" spans="1:131">
      <c r="A125" s="71"/>
      <c r="B125" s="71"/>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row>
    <row r="126" spans="1:131">
      <c r="A126" s="71"/>
      <c r="B126" s="71"/>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row>
    <row r="127" spans="1:131" ht="13.5" thickBot="1">
      <c r="A127" s="240" t="s">
        <v>461</v>
      </c>
      <c r="B127" s="241"/>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row>
    <row r="128" spans="1:131" ht="13.5" thickBot="1">
      <c r="A128" s="242"/>
      <c r="B128" s="243"/>
      <c r="C128" s="244"/>
      <c r="D128" s="244"/>
      <c r="E128" s="244"/>
      <c r="F128" s="244"/>
      <c r="G128" s="244"/>
      <c r="H128" s="244"/>
      <c r="I128" s="244"/>
      <c r="J128" s="244"/>
      <c r="K128" s="244"/>
      <c r="L128" s="244"/>
      <c r="M128" s="244"/>
      <c r="N128" s="244"/>
      <c r="O128" s="245" t="s">
        <v>462</v>
      </c>
      <c r="P128" s="246"/>
      <c r="Q128" s="246"/>
      <c r="R128" s="246"/>
      <c r="S128" s="246"/>
      <c r="T128" s="246"/>
      <c r="U128" s="246"/>
      <c r="V128" s="246"/>
      <c r="W128" s="246"/>
      <c r="X128" s="246"/>
      <c r="Y128" s="246"/>
      <c r="Z128" s="247"/>
      <c r="AA128" s="244"/>
      <c r="AB128" s="245" t="s">
        <v>463</v>
      </c>
      <c r="AC128" s="246"/>
      <c r="AD128" s="246"/>
      <c r="AE128" s="246"/>
      <c r="AF128" s="246"/>
      <c r="AG128" s="246"/>
      <c r="AH128" s="246"/>
      <c r="AI128" s="246"/>
      <c r="AJ128" s="246"/>
      <c r="AK128" s="246"/>
      <c r="AL128" s="246"/>
      <c r="AM128" s="247"/>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row>
    <row r="129" spans="1:131" ht="102">
      <c r="A129" s="248" t="s">
        <v>464</v>
      </c>
      <c r="B129" s="249" t="s">
        <v>465</v>
      </c>
      <c r="C129" s="250" t="s">
        <v>466</v>
      </c>
      <c r="D129" s="250" t="s">
        <v>467</v>
      </c>
      <c r="E129" s="250" t="s">
        <v>468</v>
      </c>
      <c r="F129" s="250" t="s">
        <v>469</v>
      </c>
      <c r="G129" s="250" t="s">
        <v>470</v>
      </c>
      <c r="H129" s="250" t="s">
        <v>471</v>
      </c>
      <c r="I129" s="250" t="s">
        <v>472</v>
      </c>
      <c r="J129" s="250" t="s">
        <v>473</v>
      </c>
      <c r="K129" s="250" t="s">
        <v>474</v>
      </c>
      <c r="L129" s="250" t="s">
        <v>475</v>
      </c>
      <c r="M129" s="250" t="s">
        <v>476</v>
      </c>
      <c r="N129" s="250" t="s">
        <v>477</v>
      </c>
      <c r="O129" s="250" t="s">
        <v>478</v>
      </c>
      <c r="P129" s="250" t="s">
        <v>479</v>
      </c>
      <c r="Q129" s="250" t="s">
        <v>480</v>
      </c>
      <c r="R129" s="250" t="s">
        <v>481</v>
      </c>
      <c r="S129" s="250" t="s">
        <v>482</v>
      </c>
      <c r="T129" s="250" t="s">
        <v>483</v>
      </c>
      <c r="U129" s="250" t="s">
        <v>484</v>
      </c>
      <c r="V129" s="250" t="s">
        <v>485</v>
      </c>
      <c r="W129" s="250" t="s">
        <v>486</v>
      </c>
      <c r="X129" s="250" t="s">
        <v>487</v>
      </c>
      <c r="Y129" s="250" t="s">
        <v>488</v>
      </c>
      <c r="Z129" s="250" t="s">
        <v>489</v>
      </c>
      <c r="AA129" s="250"/>
      <c r="AB129" s="250" t="s">
        <v>478</v>
      </c>
      <c r="AC129" s="250" t="s">
        <v>479</v>
      </c>
      <c r="AD129" s="250" t="s">
        <v>480</v>
      </c>
      <c r="AE129" s="250" t="s">
        <v>481</v>
      </c>
      <c r="AF129" s="250" t="s">
        <v>482</v>
      </c>
      <c r="AG129" s="250" t="s">
        <v>483</v>
      </c>
      <c r="AH129" s="250" t="s">
        <v>484</v>
      </c>
      <c r="AI129" s="250" t="s">
        <v>485</v>
      </c>
      <c r="AJ129" s="250" t="s">
        <v>486</v>
      </c>
      <c r="AK129" s="250" t="s">
        <v>487</v>
      </c>
      <c r="AL129" s="250" t="s">
        <v>488</v>
      </c>
      <c r="AM129" s="250" t="s">
        <v>489</v>
      </c>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row>
    <row r="130" spans="1:131">
      <c r="A130" s="71" t="s">
        <v>491</v>
      </c>
      <c r="B130" s="71"/>
      <c r="C130" s="84">
        <v>1.2357256502187177</v>
      </c>
      <c r="D130" s="84">
        <v>0.18359410174555876</v>
      </c>
      <c r="E130" s="84">
        <v>3.6718820349111753E-2</v>
      </c>
      <c r="F130" s="84">
        <v>0.22031292209467052</v>
      </c>
      <c r="G130" s="84">
        <v>0.28077907085313075</v>
      </c>
      <c r="H130" s="84">
        <v>0.82238805775753743</v>
      </c>
      <c r="I130" s="84">
        <v>1561.7877618771797</v>
      </c>
      <c r="J130" s="84">
        <v>-1.2690024673416769</v>
      </c>
      <c r="K130" s="84">
        <v>6.0459335408393819</v>
      </c>
      <c r="L130" s="251">
        <v>2.9289507058298878</v>
      </c>
      <c r="M130" s="84">
        <v>1.1739504768301726E-2</v>
      </c>
      <c r="N130" s="84">
        <v>2.3229957882234747E-4</v>
      </c>
      <c r="O130" s="84">
        <v>7.7486342503345879E-2</v>
      </c>
      <c r="P130" s="84">
        <v>6.9672791291506136E-2</v>
      </c>
      <c r="Q130" s="84">
        <v>8.0175471613182989E-2</v>
      </c>
      <c r="R130" s="84">
        <v>7.4588921816817186E-2</v>
      </c>
      <c r="S130" s="84">
        <v>7.6150871575860035E-2</v>
      </c>
      <c r="T130" s="84">
        <v>7.5379054662588707E-2</v>
      </c>
      <c r="U130" s="84">
        <v>7.1611388662872269E-2</v>
      </c>
      <c r="V130" s="84">
        <v>7.4616347628345903E-2</v>
      </c>
      <c r="W130" s="84">
        <v>6.9715519885151733E-2</v>
      </c>
      <c r="X130" s="84">
        <v>7.9488939993532334E-2</v>
      </c>
      <c r="Y130" s="84">
        <v>7.0343390153042945E-2</v>
      </c>
      <c r="Z130" s="84">
        <v>7.6585563062224013E-2</v>
      </c>
      <c r="AA130" s="84"/>
      <c r="AB130" s="84">
        <v>3.2897576703591162E-2</v>
      </c>
      <c r="AC130" s="84">
        <v>2.8264632343058614E-2</v>
      </c>
      <c r="AD130" s="84">
        <v>2.7111733108237151E-2</v>
      </c>
      <c r="AE130" s="84">
        <v>2.8309169385257019E-2</v>
      </c>
      <c r="AF130" s="84">
        <v>2.777509077738341E-2</v>
      </c>
      <c r="AG130" s="84">
        <v>2.4371871918091457E-2</v>
      </c>
      <c r="AH130" s="84">
        <v>2.8615675683371027E-2</v>
      </c>
      <c r="AI130" s="84">
        <v>2.3467748533868554E-2</v>
      </c>
      <c r="AJ130" s="84">
        <v>2.8891344016193681E-2</v>
      </c>
      <c r="AK130" s="84">
        <v>2.5948933764839772E-2</v>
      </c>
      <c r="AL130" s="84">
        <v>3.1133388285924914E-2</v>
      </c>
      <c r="AM130" s="93">
        <v>3.3123882850430712E-2</v>
      </c>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row>
    <row r="131" spans="1:131">
      <c r="A131" s="71" t="s">
        <v>490</v>
      </c>
      <c r="B131" s="71"/>
      <c r="C131" s="84">
        <v>1.0065102026425481</v>
      </c>
      <c r="D131" s="84">
        <v>0.1811789556978993</v>
      </c>
      <c r="E131" s="84">
        <v>3.6235791139579858E-2</v>
      </c>
      <c r="F131" s="84">
        <v>0.21741474683747916</v>
      </c>
      <c r="G131" s="84">
        <v>0.27708547472564599</v>
      </c>
      <c r="H131" s="84">
        <v>0.66984283325173632</v>
      </c>
      <c r="I131" s="84">
        <v>1892.2343532097311</v>
      </c>
      <c r="J131" s="84">
        <v>0.72075095040448933</v>
      </c>
      <c r="K131" s="84">
        <v>9.5833976838980899</v>
      </c>
      <c r="L131" s="251">
        <v>2.4174592115121731</v>
      </c>
      <c r="M131" s="84">
        <v>9.5619374099543512E-3</v>
      </c>
      <c r="N131" s="84">
        <v>1.8921019897327204E-4</v>
      </c>
      <c r="O131" s="84">
        <v>6.3113357144661139E-2</v>
      </c>
      <c r="P131" s="84">
        <v>5.6749145952480436E-2</v>
      </c>
      <c r="Q131" s="84">
        <v>6.5303678179750982E-2</v>
      </c>
      <c r="R131" s="84">
        <v>6.0753380654877565E-2</v>
      </c>
      <c r="S131" s="84">
        <v>6.2025603472469354E-2</v>
      </c>
      <c r="T131" s="84">
        <v>6.1396951313600442E-2</v>
      </c>
      <c r="U131" s="84">
        <v>5.8328151804427165E-2</v>
      </c>
      <c r="V131" s="84">
        <v>6.0775719237162816E-2</v>
      </c>
      <c r="W131" s="84">
        <v>5.678394879519981E-2</v>
      </c>
      <c r="X131" s="84">
        <v>6.4744491697304174E-2</v>
      </c>
      <c r="Y131" s="84">
        <v>5.7295355053099011E-2</v>
      </c>
      <c r="Z131" s="84">
        <v>6.2379663789943335E-2</v>
      </c>
      <c r="AA131" s="84"/>
      <c r="AB131" s="84">
        <v>2.6795386652789542E-2</v>
      </c>
      <c r="AC131" s="84">
        <v>2.3021809753802365E-2</v>
      </c>
      <c r="AD131" s="84">
        <v>2.2082762448066496E-2</v>
      </c>
      <c r="AE131" s="84">
        <v>2.3058085594932866E-2</v>
      </c>
      <c r="AF131" s="84">
        <v>2.2623073529153721E-2</v>
      </c>
      <c r="AG131" s="84">
        <v>1.9851119654847878E-2</v>
      </c>
      <c r="AH131" s="84">
        <v>2.3307737866997736E-2</v>
      </c>
      <c r="AI131" s="84">
        <v>1.9114702626920204E-2</v>
      </c>
      <c r="AJ131" s="84">
        <v>2.353227232533997E-2</v>
      </c>
      <c r="AK131" s="84">
        <v>2.1135651410476262E-2</v>
      </c>
      <c r="AL131" s="84">
        <v>2.5358438539387022E-2</v>
      </c>
      <c r="AM131" s="93">
        <v>2.6979715144857676E-2</v>
      </c>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row>
    <row r="132" spans="1:131">
      <c r="A132" s="71" t="s">
        <v>494</v>
      </c>
      <c r="B132" s="71"/>
      <c r="C132" s="84">
        <v>0.75826144027384157</v>
      </c>
      <c r="D132" s="84">
        <v>0.1798317315436718</v>
      </c>
      <c r="E132" s="84">
        <v>3.5966346308734361E-2</v>
      </c>
      <c r="F132" s="84">
        <v>0.21579807785240615</v>
      </c>
      <c r="G132" s="84">
        <v>0.2750251016381754</v>
      </c>
      <c r="H132" s="84">
        <v>0.50463074310132294</v>
      </c>
      <c r="I132" s="84">
        <v>2493.0598624458266</v>
      </c>
      <c r="J132" s="84">
        <v>4.3385658767157969</v>
      </c>
      <c r="K132" s="84">
        <v>16.015295457716352</v>
      </c>
      <c r="L132" s="251">
        <v>1.8348534010005313</v>
      </c>
      <c r="M132" s="84">
        <v>7.203551849990773E-3</v>
      </c>
      <c r="N132" s="84">
        <v>1.4254281537464511E-4</v>
      </c>
      <c r="O132" s="84">
        <v>4.7546885231151338E-2</v>
      </c>
      <c r="P132" s="84">
        <v>4.2752362600262855E-2</v>
      </c>
      <c r="Q132" s="84">
        <v>4.9196978770559938E-2</v>
      </c>
      <c r="R132" s="84">
        <v>4.5768980578563108E-2</v>
      </c>
      <c r="S132" s="84">
        <v>4.6727418459752666E-2</v>
      </c>
      <c r="T132" s="84">
        <v>4.6253818996812607E-2</v>
      </c>
      <c r="U132" s="84">
        <v>4.394191760760853E-2</v>
      </c>
      <c r="V132" s="84">
        <v>4.5785809504422799E-2</v>
      </c>
      <c r="W132" s="84">
        <v>4.2778581563147414E-2</v>
      </c>
      <c r="X132" s="84">
        <v>4.8775711756625491E-2</v>
      </c>
      <c r="Y132" s="84">
        <v>4.3163853013612204E-2</v>
      </c>
      <c r="Z132" s="84">
        <v>4.6994152254965851E-2</v>
      </c>
      <c r="AA132" s="84"/>
      <c r="AB132" s="84">
        <v>2.0186490333326871E-2</v>
      </c>
      <c r="AC132" s="84">
        <v>1.7343640010600143E-2</v>
      </c>
      <c r="AD132" s="84">
        <v>1.6636202211496753E-2</v>
      </c>
      <c r="AE132" s="84">
        <v>1.7370968667051453E-2</v>
      </c>
      <c r="AF132" s="84">
        <v>1.7043249310935461E-2</v>
      </c>
      <c r="AG132" s="84">
        <v>1.4954978639077939E-2</v>
      </c>
      <c r="AH132" s="84">
        <v>1.755904593729327E-2</v>
      </c>
      <c r="AI132" s="84">
        <v>1.440019376479393E-2</v>
      </c>
      <c r="AJ132" s="84">
        <v>1.772820052840093E-2</v>
      </c>
      <c r="AK132" s="84">
        <v>1.5922689544087192E-2</v>
      </c>
      <c r="AL132" s="84">
        <v>1.9103955508337791E-2</v>
      </c>
      <c r="AM132" s="93">
        <v>2.0325355480954915E-2</v>
      </c>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row>
    <row r="133" spans="1:131">
      <c r="A133" s="71" t="s">
        <v>492</v>
      </c>
      <c r="B133" s="71"/>
      <c r="C133" s="84">
        <v>0.42439544730337114</v>
      </c>
      <c r="D133" s="84">
        <v>0.11606750141743268</v>
      </c>
      <c r="E133" s="84">
        <v>2.3213500283486538E-2</v>
      </c>
      <c r="F133" s="84">
        <v>0.13928100170091923</v>
      </c>
      <c r="G133" s="84">
        <v>0.17750747379344683</v>
      </c>
      <c r="H133" s="84">
        <v>0.2824395103939018</v>
      </c>
      <c r="I133" s="84">
        <v>2874.9167378034704</v>
      </c>
      <c r="J133" s="84">
        <v>6.6378815384957663</v>
      </c>
      <c r="K133" s="84">
        <v>20.103111884906212</v>
      </c>
      <c r="L133" s="251">
        <v>1.591141512850085</v>
      </c>
      <c r="M133" s="84">
        <v>4.0317949023568819E-3</v>
      </c>
      <c r="N133" s="84">
        <v>7.9780559418868961E-5</v>
      </c>
      <c r="O133" s="84">
        <v>2.661177339872263E-2</v>
      </c>
      <c r="P133" s="84">
        <v>2.3928301091589079E-2</v>
      </c>
      <c r="Q133" s="84">
        <v>2.7535323177934414E-2</v>
      </c>
      <c r="R133" s="84">
        <v>2.5616688326184283E-2</v>
      </c>
      <c r="S133" s="84">
        <v>2.6153121608553279E-2</v>
      </c>
      <c r="T133" s="84">
        <v>2.5888050163215777E-2</v>
      </c>
      <c r="U133" s="84">
        <v>2.4594089568518766E-2</v>
      </c>
      <c r="V133" s="84">
        <v>2.5626107398734353E-2</v>
      </c>
      <c r="W133" s="84">
        <v>2.394297572475677E-2</v>
      </c>
      <c r="X133" s="84">
        <v>2.7299541964071951E-2</v>
      </c>
      <c r="Y133" s="84">
        <v>2.4158610386983793E-2</v>
      </c>
      <c r="Z133" s="84">
        <v>2.6302411289286013E-2</v>
      </c>
      <c r="AA133" s="84"/>
      <c r="AB133" s="84">
        <v>1.1298285972979842E-2</v>
      </c>
      <c r="AC133" s="84">
        <v>9.7071556975244187E-3</v>
      </c>
      <c r="AD133" s="84">
        <v>9.3112060088769676E-3</v>
      </c>
      <c r="AE133" s="84">
        <v>9.7224514210873438E-3</v>
      </c>
      <c r="AF133" s="84">
        <v>9.5390284018730346E-3</v>
      </c>
      <c r="AG133" s="84">
        <v>8.3702328930925531E-3</v>
      </c>
      <c r="AH133" s="84">
        <v>9.8277174058683265E-3</v>
      </c>
      <c r="AI133" s="84">
        <v>8.0597223457094819E-3</v>
      </c>
      <c r="AJ133" s="84">
        <v>9.9223924540029502E-3</v>
      </c>
      <c r="AK133" s="84">
        <v>8.9118562443253856E-3</v>
      </c>
      <c r="AL133" s="84">
        <v>1.0692396200836346E-2</v>
      </c>
      <c r="AM133" s="93">
        <v>1.1376008158643362E-2</v>
      </c>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row>
    <row r="134" spans="1:131">
      <c r="A134" s="71" t="s">
        <v>495</v>
      </c>
      <c r="B134" s="71"/>
      <c r="C134" s="84">
        <v>0.98809785745715661</v>
      </c>
      <c r="D134" s="84">
        <v>0.29228310942328339</v>
      </c>
      <c r="E134" s="84">
        <v>5.8456621884656682E-2</v>
      </c>
      <c r="F134" s="84">
        <v>0.35073973130794006</v>
      </c>
      <c r="G134" s="84">
        <v>0.44700226809938193</v>
      </c>
      <c r="H134" s="84">
        <v>0.65758922923122032</v>
      </c>
      <c r="I134" s="84">
        <v>3109.489635130371</v>
      </c>
      <c r="J134" s="84">
        <v>8.0503404241651442</v>
      </c>
      <c r="K134" s="84">
        <v>22.614238448146263</v>
      </c>
      <c r="L134" s="251">
        <v>1.4711093794383581</v>
      </c>
      <c r="M134" s="84">
        <v>9.3870184754309399E-3</v>
      </c>
      <c r="N134" s="84">
        <v>1.8574892904580788E-4</v>
      </c>
      <c r="O134" s="84">
        <v>6.1958808572271672E-2</v>
      </c>
      <c r="P134" s="84">
        <v>5.5711019501789791E-2</v>
      </c>
      <c r="Q134" s="84">
        <v>6.4109061511818097E-2</v>
      </c>
      <c r="R134" s="84">
        <v>5.9642003728086139E-2</v>
      </c>
      <c r="S134" s="84">
        <v>6.0890953452560015E-2</v>
      </c>
      <c r="T134" s="84">
        <v>6.0273801386308397E-2</v>
      </c>
      <c r="U134" s="84">
        <v>5.7261140201137505E-2</v>
      </c>
      <c r="V134" s="84">
        <v>5.966393366504727E-2</v>
      </c>
      <c r="W134" s="84">
        <v>5.5745185687322882E-2</v>
      </c>
      <c r="X134" s="84">
        <v>6.3560104368836287E-2</v>
      </c>
      <c r="Y134" s="84">
        <v>5.6247236661464715E-2</v>
      </c>
      <c r="Z134" s="84">
        <v>6.1238536855279767E-2</v>
      </c>
      <c r="AA134" s="84"/>
      <c r="AB134" s="84">
        <v>2.6305211881454009E-2</v>
      </c>
      <c r="AC134" s="84">
        <v>2.2600665977150595E-2</v>
      </c>
      <c r="AD134" s="84">
        <v>2.1678796900799015E-2</v>
      </c>
      <c r="AE134" s="84">
        <v>2.2636278215163081E-2</v>
      </c>
      <c r="AF134" s="84">
        <v>2.2209223934902562E-2</v>
      </c>
      <c r="AG134" s="84">
        <v>1.9487978112475084E-2</v>
      </c>
      <c r="AH134" s="84">
        <v>2.2881363535201531E-2</v>
      </c>
      <c r="AI134" s="84">
        <v>1.8765032547114809E-2</v>
      </c>
      <c r="AJ134" s="84">
        <v>2.3101790528023632E-2</v>
      </c>
      <c r="AK134" s="84">
        <v>2.0749011604475211E-2</v>
      </c>
      <c r="AL134" s="84">
        <v>2.4894550222583196E-2</v>
      </c>
      <c r="AM134" s="93">
        <v>2.6486168405891266E-2</v>
      </c>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row>
    <row r="135" spans="1:131">
      <c r="A135" s="71" t="s">
        <v>496</v>
      </c>
      <c r="B135" s="71"/>
      <c r="C135" s="84">
        <v>0.98809785745715661</v>
      </c>
      <c r="D135" s="84">
        <v>0.29228310942328339</v>
      </c>
      <c r="E135" s="84">
        <v>5.8456621884656682E-2</v>
      </c>
      <c r="F135" s="84">
        <v>0.35073973130794006</v>
      </c>
      <c r="G135" s="84">
        <v>0.44700226809938193</v>
      </c>
      <c r="H135" s="84">
        <v>0.65758922923122032</v>
      </c>
      <c r="I135" s="84">
        <v>3109.489635130371</v>
      </c>
      <c r="J135" s="84">
        <v>8.0503404241651442</v>
      </c>
      <c r="K135" s="84">
        <v>22.614238448146263</v>
      </c>
      <c r="L135" s="251">
        <v>1.4711093794383581</v>
      </c>
      <c r="M135" s="84">
        <v>9.3870184754309399E-3</v>
      </c>
      <c r="N135" s="84">
        <v>1.8574892904580788E-4</v>
      </c>
      <c r="O135" s="84">
        <v>6.1958808572271672E-2</v>
      </c>
      <c r="P135" s="84">
        <v>5.5711019501789791E-2</v>
      </c>
      <c r="Q135" s="84">
        <v>6.4109061511818097E-2</v>
      </c>
      <c r="R135" s="84">
        <v>5.9642003728086139E-2</v>
      </c>
      <c r="S135" s="84">
        <v>6.0890953452560015E-2</v>
      </c>
      <c r="T135" s="84">
        <v>6.0273801386308397E-2</v>
      </c>
      <c r="U135" s="84">
        <v>5.7261140201137505E-2</v>
      </c>
      <c r="V135" s="84">
        <v>5.966393366504727E-2</v>
      </c>
      <c r="W135" s="84">
        <v>5.5745185687322882E-2</v>
      </c>
      <c r="X135" s="84">
        <v>6.3560104368836287E-2</v>
      </c>
      <c r="Y135" s="84">
        <v>5.6247236661464715E-2</v>
      </c>
      <c r="Z135" s="84">
        <v>6.1238536855279767E-2</v>
      </c>
      <c r="AA135" s="84"/>
      <c r="AB135" s="84">
        <v>2.6305211881454009E-2</v>
      </c>
      <c r="AC135" s="84">
        <v>2.2600665977150595E-2</v>
      </c>
      <c r="AD135" s="84">
        <v>2.1678796900799015E-2</v>
      </c>
      <c r="AE135" s="84">
        <v>2.2636278215163081E-2</v>
      </c>
      <c r="AF135" s="84">
        <v>2.2209223934902562E-2</v>
      </c>
      <c r="AG135" s="84">
        <v>1.9487978112475084E-2</v>
      </c>
      <c r="AH135" s="84">
        <v>2.2881363535201531E-2</v>
      </c>
      <c r="AI135" s="84">
        <v>1.8765032547114809E-2</v>
      </c>
      <c r="AJ135" s="84">
        <v>2.3101790528023632E-2</v>
      </c>
      <c r="AK135" s="84">
        <v>2.0749011604475211E-2</v>
      </c>
      <c r="AL135" s="84">
        <v>2.4894550222583196E-2</v>
      </c>
      <c r="AM135" s="93">
        <v>2.6486168405891266E-2</v>
      </c>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row>
    <row r="136" spans="1:131">
      <c r="A136" s="71" t="s">
        <v>501</v>
      </c>
      <c r="B136" s="71"/>
      <c r="C136" s="84">
        <v>0.75763738633758693</v>
      </c>
      <c r="D136" s="84">
        <v>0.21500550974150753</v>
      </c>
      <c r="E136" s="84">
        <v>4.3001101948301507E-2</v>
      </c>
      <c r="F136" s="84">
        <v>0.25800661168980904</v>
      </c>
      <c r="G136" s="84">
        <v>0.32881801038025227</v>
      </c>
      <c r="H136" s="84">
        <v>0.45289630126177977</v>
      </c>
      <c r="I136" s="84">
        <v>2983.1393740061003</v>
      </c>
      <c r="J136" s="84">
        <v>11.07787274130667</v>
      </c>
      <c r="K136" s="84">
        <v>25.049984802238548</v>
      </c>
      <c r="L136" s="251">
        <v>1.3773463951626028</v>
      </c>
      <c r="M136" s="84">
        <v>7.1976239909175444E-3</v>
      </c>
      <c r="N136" s="84">
        <v>9.1872907910982293E-5</v>
      </c>
      <c r="O136" s="84">
        <v>3.5908596614483125E-2</v>
      </c>
      <c r="P136" s="84">
        <v>3.2984502996557877E-2</v>
      </c>
      <c r="Q136" s="84">
        <v>3.8502420829714307E-2</v>
      </c>
      <c r="R136" s="84">
        <v>3.5673851695912695E-2</v>
      </c>
      <c r="S136" s="84">
        <v>3.7492007583157252E-2</v>
      </c>
      <c r="T136" s="84">
        <v>3.8054113923821901E-2</v>
      </c>
      <c r="U136" s="84">
        <v>3.7190666671238957E-2</v>
      </c>
      <c r="V136" s="84">
        <v>4.024705866254543E-2</v>
      </c>
      <c r="W136" s="84">
        <v>3.5284829795412247E-2</v>
      </c>
      <c r="X136" s="84">
        <v>3.8955541784971903E-2</v>
      </c>
      <c r="Y136" s="84">
        <v>3.4247766461419631E-2</v>
      </c>
      <c r="Z136" s="84">
        <v>3.5765774901922988E-2</v>
      </c>
      <c r="AA136" s="84"/>
      <c r="AB136" s="84">
        <v>2.8090682196730922E-2</v>
      </c>
      <c r="AC136" s="84">
        <v>2.472525349401599E-2</v>
      </c>
      <c r="AD136" s="84">
        <v>2.5174502754163545E-2</v>
      </c>
      <c r="AE136" s="84">
        <v>2.5827944691509681E-2</v>
      </c>
      <c r="AF136" s="84">
        <v>2.6541839591328928E-2</v>
      </c>
      <c r="AG136" s="84">
        <v>2.4786719909845586E-2</v>
      </c>
      <c r="AH136" s="84">
        <v>2.839200695967509E-2</v>
      </c>
      <c r="AI136" s="84">
        <v>2.5754361551863565E-2</v>
      </c>
      <c r="AJ136" s="84">
        <v>2.7607393009211532E-2</v>
      </c>
      <c r="AK136" s="84">
        <v>2.5234728062125674E-2</v>
      </c>
      <c r="AL136" s="84">
        <v>2.7195316879024014E-2</v>
      </c>
      <c r="AM136" s="93">
        <v>2.7999505316934046E-2</v>
      </c>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row>
    <row r="137" spans="1:131">
      <c r="A137" s="71" t="s">
        <v>497</v>
      </c>
      <c r="B137" s="71"/>
      <c r="C137" s="84">
        <v>2.1564427486716466</v>
      </c>
      <c r="D137" s="84">
        <v>0.73229385146975234</v>
      </c>
      <c r="E137" s="84">
        <v>0.14645877029395046</v>
      </c>
      <c r="F137" s="84">
        <v>0.87875262176370283</v>
      </c>
      <c r="G137" s="84">
        <v>1.1199313335898684</v>
      </c>
      <c r="H137" s="84">
        <v>1.4351347027809216</v>
      </c>
      <c r="I137" s="84">
        <v>3569.7089437648515</v>
      </c>
      <c r="J137" s="84">
        <v>10.821508190113379</v>
      </c>
      <c r="K137" s="84">
        <v>27.540932640005433</v>
      </c>
      <c r="L137" s="251">
        <v>1.2814488350644579</v>
      </c>
      <c r="M137" s="84">
        <v>2.0486399975690191E-2</v>
      </c>
      <c r="N137" s="84">
        <v>4.0538184360117846E-4</v>
      </c>
      <c r="O137" s="84">
        <v>0.13522003155219187</v>
      </c>
      <c r="P137" s="84">
        <v>0.12158474296757432</v>
      </c>
      <c r="Q137" s="84">
        <v>0.13991278270462096</v>
      </c>
      <c r="R137" s="84">
        <v>0.13016379449163548</v>
      </c>
      <c r="S137" s="84">
        <v>0.13288952510269889</v>
      </c>
      <c r="T137" s="84">
        <v>0.13154264120040915</v>
      </c>
      <c r="U137" s="84">
        <v>0.12496775459587263</v>
      </c>
      <c r="V137" s="84">
        <v>0.13021165478521041</v>
      </c>
      <c r="W137" s="84">
        <v>0.12165930787274698</v>
      </c>
      <c r="X137" s="84">
        <v>0.13871472864410403</v>
      </c>
      <c r="Y137" s="84">
        <v>0.12275499305663944</v>
      </c>
      <c r="Z137" s="84">
        <v>0.13364809744722614</v>
      </c>
      <c r="AA137" s="84"/>
      <c r="AB137" s="84">
        <v>5.7408973196252815E-2</v>
      </c>
      <c r="AC137" s="84">
        <v>4.9324104787556028E-2</v>
      </c>
      <c r="AD137" s="84">
        <v>4.7312200936211843E-2</v>
      </c>
      <c r="AE137" s="84">
        <v>4.9401825583979597E-2</v>
      </c>
      <c r="AF137" s="84">
        <v>4.8469814549842817E-2</v>
      </c>
      <c r="AG137" s="84">
        <v>4.2530918137063993E-2</v>
      </c>
      <c r="AH137" s="84">
        <v>4.9936704247276059E-2</v>
      </c>
      <c r="AI137" s="84">
        <v>4.0953148576751912E-2</v>
      </c>
      <c r="AJ137" s="84">
        <v>5.0417768128444666E-2</v>
      </c>
      <c r="AK137" s="84">
        <v>4.528302058231564E-2</v>
      </c>
      <c r="AL137" s="84">
        <v>5.4330319516211839E-2</v>
      </c>
      <c r="AM137" s="93">
        <v>5.7803896008808815E-2</v>
      </c>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row>
    <row r="138" spans="1:131">
      <c r="A138" s="71" t="s">
        <v>498</v>
      </c>
      <c r="B138" s="71"/>
      <c r="C138" s="84">
        <v>0.15178749688730306</v>
      </c>
      <c r="D138" s="84">
        <v>6.6713799252344441E-2</v>
      </c>
      <c r="E138" s="84">
        <v>1.3342759850468889E-2</v>
      </c>
      <c r="F138" s="84">
        <v>8.0056559102813327E-2</v>
      </c>
      <c r="G138" s="84">
        <v>0.10202854225195006</v>
      </c>
      <c r="H138" s="84">
        <v>0.10101613148107208</v>
      </c>
      <c r="I138" s="84">
        <v>4620.2452252133271</v>
      </c>
      <c r="J138" s="84">
        <v>17.147214707614797</v>
      </c>
      <c r="K138" s="84">
        <v>38.787029661676023</v>
      </c>
      <c r="L138" s="252">
        <v>0.99007718086985974</v>
      </c>
      <c r="M138" s="84">
        <v>1.4419948660624529E-3</v>
      </c>
      <c r="N138" s="84">
        <v>2.8533980492496855E-5</v>
      </c>
      <c r="O138" s="84">
        <v>9.5178553341944382E-3</v>
      </c>
      <c r="P138" s="84">
        <v>8.5580958762306158E-3</v>
      </c>
      <c r="Q138" s="84">
        <v>9.8481682772952883E-3</v>
      </c>
      <c r="R138" s="84">
        <v>9.1619573779127654E-3</v>
      </c>
      <c r="S138" s="84">
        <v>9.3538158572984437E-3</v>
      </c>
      <c r="T138" s="84">
        <v>9.2590115151695851E-3</v>
      </c>
      <c r="U138" s="84">
        <v>8.7962189923283425E-3</v>
      </c>
      <c r="V138" s="84">
        <v>9.1653261639222747E-3</v>
      </c>
      <c r="W138" s="84">
        <v>8.5633443440226633E-3</v>
      </c>
      <c r="X138" s="84">
        <v>9.7638397565898098E-3</v>
      </c>
      <c r="Y138" s="84">
        <v>8.6404673335117119E-3</v>
      </c>
      <c r="Z138" s="84">
        <v>9.4072101787821237E-3</v>
      </c>
      <c r="AA138" s="84"/>
      <c r="AB138" s="84">
        <v>4.0408976058822939E-3</v>
      </c>
      <c r="AC138" s="84">
        <v>3.4718206205668926E-3</v>
      </c>
      <c r="AD138" s="84">
        <v>3.3302069144939758E-3</v>
      </c>
      <c r="AE138" s="84">
        <v>3.4772912249464842E-3</v>
      </c>
      <c r="AF138" s="84">
        <v>3.4116889166866836E-3</v>
      </c>
      <c r="AG138" s="84">
        <v>2.9936624138620811E-3</v>
      </c>
      <c r="AH138" s="84">
        <v>3.5149402158553352E-3</v>
      </c>
      <c r="AI138" s="84">
        <v>2.882606512947358E-3</v>
      </c>
      <c r="AJ138" s="84">
        <v>3.5488012967537048E-3</v>
      </c>
      <c r="AK138" s="84">
        <v>3.1873771515241386E-3</v>
      </c>
      <c r="AL138" s="84">
        <v>3.824197609481203E-3</v>
      </c>
      <c r="AM138" s="93">
        <v>4.0686953970448438E-3</v>
      </c>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row>
    <row r="139" spans="1:131">
      <c r="A139" s="71" t="s">
        <v>499</v>
      </c>
      <c r="B139" s="71"/>
      <c r="C139" s="84">
        <v>0.12235600665603641</v>
      </c>
      <c r="D139" s="84">
        <v>6.186975639218098E-2</v>
      </c>
      <c r="E139" s="84">
        <v>1.2373951278436197E-2</v>
      </c>
      <c r="F139" s="84">
        <v>7.4243707670617179E-2</v>
      </c>
      <c r="G139" s="84">
        <v>9.4620320307356245E-2</v>
      </c>
      <c r="H139" s="84">
        <v>8.1429173741773567E-2</v>
      </c>
      <c r="I139" s="84">
        <v>5315.4307415648263</v>
      </c>
      <c r="J139" s="84">
        <v>21.333209641168121</v>
      </c>
      <c r="K139" s="84">
        <v>46.229060844235001</v>
      </c>
      <c r="L139" s="252">
        <v>0.86058865027370723</v>
      </c>
      <c r="M139" s="84">
        <v>1.1623930629866433E-3</v>
      </c>
      <c r="N139" s="84">
        <v>2.3001261491618969E-5</v>
      </c>
      <c r="O139" s="84">
        <v>7.6723497949672138E-3</v>
      </c>
      <c r="P139" s="84">
        <v>6.8986870293574433E-3</v>
      </c>
      <c r="Q139" s="84">
        <v>7.9386152878004601E-3</v>
      </c>
      <c r="R139" s="84">
        <v>7.3854602052403229E-3</v>
      </c>
      <c r="S139" s="84">
        <v>7.5401174587172706E-3</v>
      </c>
      <c r="T139" s="84">
        <v>7.4636956126863541E-3</v>
      </c>
      <c r="U139" s="84">
        <v>7.0906382386183861E-3</v>
      </c>
      <c r="V139" s="84">
        <v>7.3881757859821824E-3</v>
      </c>
      <c r="W139" s="84">
        <v>6.9029178228896303E-3</v>
      </c>
      <c r="X139" s="84">
        <v>7.8706380086943032E-3</v>
      </c>
      <c r="Y139" s="84">
        <v>6.9650867182780418E-3</v>
      </c>
      <c r="Z139" s="84">
        <v>7.5831586583471871E-3</v>
      </c>
      <c r="AA139" s="84"/>
      <c r="AB139" s="84">
        <v>3.2573703664722209E-3</v>
      </c>
      <c r="AC139" s="84">
        <v>2.7986370133901406E-3</v>
      </c>
      <c r="AD139" s="84">
        <v>2.6844821065751963E-3</v>
      </c>
      <c r="AE139" s="84">
        <v>2.8030468713798199E-3</v>
      </c>
      <c r="AF139" s="84">
        <v>2.7501648051313251E-3</v>
      </c>
      <c r="AG139" s="84">
        <v>2.4131933508884087E-3</v>
      </c>
      <c r="AH139" s="84">
        <v>2.8333957490983622E-3</v>
      </c>
      <c r="AI139" s="84">
        <v>2.3236711120336309E-3</v>
      </c>
      <c r="AJ139" s="84">
        <v>2.8606911899267833E-3</v>
      </c>
      <c r="AK139" s="84">
        <v>2.5693469354511021E-3</v>
      </c>
      <c r="AL139" s="84">
        <v>3.0826883488769179E-3</v>
      </c>
      <c r="AM139" s="93">
        <v>3.2797781852336922E-3</v>
      </c>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c r="BN139" s="93"/>
      <c r="BO139" s="93"/>
      <c r="BP139" s="93"/>
      <c r="BQ139" s="93"/>
      <c r="BR139" s="93"/>
      <c r="BS139" s="93"/>
      <c r="BT139" s="93"/>
      <c r="BU139" s="93"/>
      <c r="BV139" s="93"/>
      <c r="BW139" s="93"/>
      <c r="BX139" s="93"/>
      <c r="BY139" s="93"/>
      <c r="BZ139" s="93"/>
      <c r="CA139" s="93"/>
      <c r="CB139" s="93"/>
      <c r="CC139" s="93"/>
      <c r="CD139" s="93"/>
      <c r="CE139" s="93"/>
      <c r="CF139" s="93"/>
      <c r="CG139" s="93"/>
      <c r="CH139" s="93"/>
      <c r="CI139" s="93"/>
      <c r="CJ139" s="93"/>
      <c r="CK139" s="93"/>
      <c r="CL139" s="93"/>
      <c r="CM139" s="93"/>
      <c r="CN139" s="93"/>
      <c r="CO139" s="93"/>
      <c r="CP139" s="93"/>
      <c r="CQ139" s="93"/>
      <c r="CR139" s="93"/>
      <c r="CS139" s="93"/>
      <c r="CT139" s="93"/>
      <c r="CU139" s="93"/>
      <c r="CV139" s="93"/>
      <c r="CW139" s="93"/>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row>
    <row r="140" spans="1:131">
      <c r="A140" s="71" t="s">
        <v>500</v>
      </c>
      <c r="B140" s="71"/>
      <c r="C140" s="84">
        <v>0.122195039062654</v>
      </c>
      <c r="D140" s="84">
        <v>6.186975639218098E-2</v>
      </c>
      <c r="E140" s="84">
        <v>1.2373951278436197E-2</v>
      </c>
      <c r="F140" s="84">
        <v>7.4243707670617179E-2</v>
      </c>
      <c r="G140" s="84">
        <v>9.4620320307356245E-2</v>
      </c>
      <c r="H140" s="84">
        <v>7.3045077001197015E-2</v>
      </c>
      <c r="I140" s="84">
        <v>5322.4327614571548</v>
      </c>
      <c r="J140" s="84">
        <v>25.163710316515516</v>
      </c>
      <c r="K140" s="84">
        <v>50.092356838313059</v>
      </c>
      <c r="L140" s="252">
        <v>0.77198086799879639</v>
      </c>
      <c r="M140" s="84">
        <v>1.1608639707974633E-3</v>
      </c>
      <c r="N140" s="84">
        <v>1.4817660497524398E-5</v>
      </c>
      <c r="O140" s="84">
        <v>5.791493985272682E-3</v>
      </c>
      <c r="P140" s="84">
        <v>5.3198835020671674E-3</v>
      </c>
      <c r="Q140" s="84">
        <v>6.2098371887858803E-3</v>
      </c>
      <c r="R140" s="84">
        <v>5.7536333081047632E-3</v>
      </c>
      <c r="S140" s="84">
        <v>6.0468733641925567E-3</v>
      </c>
      <c r="T140" s="84">
        <v>6.1375323093469302E-3</v>
      </c>
      <c r="U140" s="84">
        <v>5.9982717967843923E-3</v>
      </c>
      <c r="V140" s="84">
        <v>6.491219934644717E-3</v>
      </c>
      <c r="W140" s="84">
        <v>5.6908901711039987E-3</v>
      </c>
      <c r="X140" s="84">
        <v>6.2829184989565186E-3</v>
      </c>
      <c r="Y140" s="84">
        <v>5.5236281049851977E-3</v>
      </c>
      <c r="Z140" s="84">
        <v>5.7684590808975899E-3</v>
      </c>
      <c r="AA140" s="84"/>
      <c r="AB140" s="84">
        <v>4.5305868879029513E-3</v>
      </c>
      <c r="AC140" s="84">
        <v>3.9877959707615039E-3</v>
      </c>
      <c r="AD140" s="84">
        <v>4.060252837176143E-3</v>
      </c>
      <c r="AE140" s="84">
        <v>4.1656427829458061E-3</v>
      </c>
      <c r="AF140" s="84">
        <v>4.2807828443302267E-3</v>
      </c>
      <c r="AG140" s="84">
        <v>3.9977095405229514E-3</v>
      </c>
      <c r="AH140" s="84">
        <v>4.5791858507346263E-3</v>
      </c>
      <c r="AI140" s="84">
        <v>4.1537749754886333E-3</v>
      </c>
      <c r="AJ140" s="84">
        <v>4.4526399145718648E-3</v>
      </c>
      <c r="AK140" s="84">
        <v>4.0699662356853787E-3</v>
      </c>
      <c r="AL140" s="84">
        <v>4.3861784915572742E-3</v>
      </c>
      <c r="AM140" s="93">
        <v>4.515881485834229E-3</v>
      </c>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row>
    <row r="141" spans="1:131">
      <c r="A141" s="71" t="s">
        <v>504</v>
      </c>
      <c r="B141" s="71"/>
      <c r="C141" s="84">
        <v>0.2848915940665197</v>
      </c>
      <c r="D141" s="84">
        <v>0.19999195139965231</v>
      </c>
      <c r="E141" s="84">
        <v>3.9998390279930462E-2</v>
      </c>
      <c r="F141" s="84">
        <v>0.23999034167958277</v>
      </c>
      <c r="G141" s="84">
        <v>0.30585707143207419</v>
      </c>
      <c r="H141" s="84">
        <v>0.18959826938475005</v>
      </c>
      <c r="I141" s="84">
        <v>7379.3521356838373</v>
      </c>
      <c r="J141" s="84">
        <v>33.760920368481607</v>
      </c>
      <c r="K141" s="84">
        <v>68.323547872670318</v>
      </c>
      <c r="L141" s="252">
        <v>0.61989173079117998</v>
      </c>
      <c r="M141" s="84">
        <v>2.7064957552681954E-3</v>
      </c>
      <c r="N141" s="84">
        <v>5.3555736501840944E-5</v>
      </c>
      <c r="O141" s="84">
        <v>1.7864165585828307E-2</v>
      </c>
      <c r="P141" s="84">
        <v>1.6062782682052364E-2</v>
      </c>
      <c r="Q141" s="84">
        <v>1.8484133520148178E-2</v>
      </c>
      <c r="R141" s="84">
        <v>1.7196176863638744E-2</v>
      </c>
      <c r="S141" s="84">
        <v>1.7556278118012459E-2</v>
      </c>
      <c r="T141" s="84">
        <v>1.7378338823226071E-2</v>
      </c>
      <c r="U141" s="84">
        <v>1.6509718533294027E-2</v>
      </c>
      <c r="V141" s="84">
        <v>1.7202499774524024E-2</v>
      </c>
      <c r="W141" s="84">
        <v>1.6072633587998809E-2</v>
      </c>
      <c r="X141" s="84">
        <v>1.8325856407858141E-2</v>
      </c>
      <c r="Y141" s="84">
        <v>1.6217386560840992E-2</v>
      </c>
      <c r="Z141" s="84">
        <v>1.7656494497315954E-2</v>
      </c>
      <c r="AA141" s="84"/>
      <c r="AB141" s="84">
        <v>7.58440440752593E-3</v>
      </c>
      <c r="AC141" s="84">
        <v>6.5162976608058986E-3</v>
      </c>
      <c r="AD141" s="84">
        <v>6.2505013647200939E-3</v>
      </c>
      <c r="AE141" s="84">
        <v>6.5265654973152938E-3</v>
      </c>
      <c r="AF141" s="84">
        <v>6.4034358156363465E-3</v>
      </c>
      <c r="AG141" s="84">
        <v>5.6188373526932806E-3</v>
      </c>
      <c r="AH141" s="84">
        <v>6.597229295421024E-3</v>
      </c>
      <c r="AI141" s="84">
        <v>5.4103953315063858E-3</v>
      </c>
      <c r="AJ141" s="84">
        <v>6.660783524272392E-3</v>
      </c>
      <c r="AK141" s="84">
        <v>5.9824226382961931E-3</v>
      </c>
      <c r="AL141" s="84">
        <v>7.1776778412742138E-3</v>
      </c>
      <c r="AM141" s="93">
        <v>7.6365783823145574E-3</v>
      </c>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c r="BT141" s="93"/>
      <c r="BU141" s="93"/>
      <c r="BV141" s="93"/>
      <c r="BW141" s="93"/>
      <c r="BX141" s="93"/>
      <c r="BY141" s="93"/>
      <c r="BZ141" s="93"/>
      <c r="CA141" s="93"/>
      <c r="CB141" s="93"/>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row>
    <row r="142" spans="1:131">
      <c r="A142" s="71" t="s">
        <v>502</v>
      </c>
      <c r="B142" s="71"/>
      <c r="C142" s="84">
        <v>0.12367585487615354</v>
      </c>
      <c r="D142" s="84">
        <v>8.6958816167838432E-2</v>
      </c>
      <c r="E142" s="84">
        <v>1.7391763233567687E-2</v>
      </c>
      <c r="F142" s="84">
        <v>0.10435057940140612</v>
      </c>
      <c r="G142" s="84">
        <v>0.13299019616617136</v>
      </c>
      <c r="H142" s="84">
        <v>8.2307546230104417E-2</v>
      </c>
      <c r="I142" s="84">
        <v>7391.1846129682281</v>
      </c>
      <c r="J142" s="84">
        <v>33.832168530013789</v>
      </c>
      <c r="K142" s="84">
        <v>68.450215737357013</v>
      </c>
      <c r="L142" s="252">
        <v>0.6188993520038204</v>
      </c>
      <c r="M142" s="84">
        <v>1.1749317397315648E-3</v>
      </c>
      <c r="N142" s="84">
        <v>2.324937496695904E-5</v>
      </c>
      <c r="O142" s="84">
        <v>7.7551110544897672E-3</v>
      </c>
      <c r="P142" s="84">
        <v>6.9731028267153846E-3</v>
      </c>
      <c r="Q142" s="84">
        <v>8.0242487400857473E-3</v>
      </c>
      <c r="R142" s="84">
        <v>7.4651268008822909E-3</v>
      </c>
      <c r="S142" s="84">
        <v>7.6214523345385973E-3</v>
      </c>
      <c r="T142" s="84">
        <v>7.5442061298168521E-3</v>
      </c>
      <c r="U142" s="84">
        <v>7.167124604220719E-3</v>
      </c>
      <c r="V142" s="84">
        <v>7.4678716744599229E-3</v>
      </c>
      <c r="W142" s="84">
        <v>6.9773792576091186E-3</v>
      </c>
      <c r="X142" s="84">
        <v>7.9555381934164476E-3</v>
      </c>
      <c r="Y142" s="84">
        <v>7.040218765811462E-3</v>
      </c>
      <c r="Z142" s="84">
        <v>7.6649578174699702E-3</v>
      </c>
      <c r="AA142" s="84"/>
      <c r="AB142" s="84">
        <v>3.2925074602524764E-3</v>
      </c>
      <c r="AC142" s="84">
        <v>2.8288257730744999E-3</v>
      </c>
      <c r="AD142" s="84">
        <v>2.7134394828996775E-3</v>
      </c>
      <c r="AE142" s="84">
        <v>2.8332831999852127E-3</v>
      </c>
      <c r="AF142" s="84">
        <v>2.7798306974915212E-3</v>
      </c>
      <c r="AG142" s="84">
        <v>2.4392243487610533E-3</v>
      </c>
      <c r="AH142" s="84">
        <v>2.8639594495536063E-3</v>
      </c>
      <c r="AI142" s="84">
        <v>2.3487364379229988E-3</v>
      </c>
      <c r="AJ142" s="84">
        <v>2.8915493249584679E-3</v>
      </c>
      <c r="AK142" s="84">
        <v>2.597062354352862E-3</v>
      </c>
      <c r="AL142" s="84">
        <v>3.1159411563331041E-3</v>
      </c>
      <c r="AM142" s="93">
        <v>3.3151569910517729E-3</v>
      </c>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row>
    <row r="143" spans="1:131">
      <c r="A143" s="71" t="s">
        <v>493</v>
      </c>
      <c r="B143" s="71"/>
      <c r="C143" s="84">
        <v>2.8497733744070924E-2</v>
      </c>
      <c r="D143" s="84">
        <v>2.1088272602037467E-2</v>
      </c>
      <c r="E143" s="84">
        <v>4.2176545204074935E-3</v>
      </c>
      <c r="F143" s="84">
        <v>2.5305927122444959E-2</v>
      </c>
      <c r="G143" s="84">
        <v>3.2251284386595767E-2</v>
      </c>
      <c r="H143" s="84">
        <v>1.8965533247715466E-2</v>
      </c>
      <c r="I143" s="84">
        <v>7778.8614204713494</v>
      </c>
      <c r="J143" s="84">
        <v>36.166528371946491</v>
      </c>
      <c r="K143" s="84">
        <v>72.600335126113649</v>
      </c>
      <c r="L143" s="252">
        <v>0.58805513046785496</v>
      </c>
      <c r="M143" s="84">
        <v>2.7073103250312863E-4</v>
      </c>
      <c r="N143" s="84">
        <v>5.3571855087473207E-6</v>
      </c>
      <c r="O143" s="84">
        <v>1.7869542135597804E-3</v>
      </c>
      <c r="P143" s="84">
        <v>1.6067617072447577E-3</v>
      </c>
      <c r="Q143" s="84">
        <v>1.848969666069004E-3</v>
      </c>
      <c r="R143" s="84">
        <v>1.7201352369895007E-3</v>
      </c>
      <c r="S143" s="84">
        <v>1.7561562003375875E-3</v>
      </c>
      <c r="T143" s="84">
        <v>1.7383569154480296E-3</v>
      </c>
      <c r="U143" s="84">
        <v>1.6514687437268194E-3</v>
      </c>
      <c r="V143" s="84">
        <v>1.7207677183776813E-3</v>
      </c>
      <c r="W143" s="84">
        <v>1.6077470943205664E-3</v>
      </c>
      <c r="X143" s="84">
        <v>1.83313719119869E-3</v>
      </c>
      <c r="Y143" s="84">
        <v>1.622226748212201E-3</v>
      </c>
      <c r="Z143" s="84">
        <v>1.7661808544645146E-3</v>
      </c>
      <c r="AA143" s="84"/>
      <c r="AB143" s="84">
        <v>7.5866870737704365E-4</v>
      </c>
      <c r="AC143" s="84">
        <v>6.5182588606457596E-4</v>
      </c>
      <c r="AD143" s="84">
        <v>6.2523825682675113E-4</v>
      </c>
      <c r="AE143" s="84">
        <v>6.5285297874497308E-4</v>
      </c>
      <c r="AF143" s="84">
        <v>6.4053630476244925E-4</v>
      </c>
      <c r="AG143" s="84">
        <v>5.6205284453182507E-4</v>
      </c>
      <c r="AH143" s="84">
        <v>6.5992148531274382E-4</v>
      </c>
      <c r="AI143" s="84">
        <v>5.4120236896646628E-4</v>
      </c>
      <c r="AJ143" s="84">
        <v>6.6627882097949269E-4</v>
      </c>
      <c r="AK143" s="84">
        <v>5.9842231586117048E-4</v>
      </c>
      <c r="AL143" s="84">
        <v>7.1798380956649159E-4</v>
      </c>
      <c r="AM143" s="93">
        <v>7.6388767512780499E-4</v>
      </c>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c r="BT143" s="93"/>
      <c r="BU143" s="93"/>
      <c r="BV143" s="93"/>
      <c r="BW143" s="93"/>
      <c r="BX143" s="93"/>
      <c r="BY143" s="93"/>
      <c r="BZ143" s="93"/>
      <c r="CA143" s="93"/>
      <c r="CB143" s="93"/>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row>
    <row r="144" spans="1:131">
      <c r="A144" s="71" t="s">
        <v>505</v>
      </c>
      <c r="B144" s="71"/>
      <c r="C144" s="84">
        <v>4.9953631666669059E-2</v>
      </c>
      <c r="D144" s="84">
        <v>3.7784319235833738E-2</v>
      </c>
      <c r="E144" s="84">
        <v>7.5568638471667478E-3</v>
      </c>
      <c r="F144" s="84">
        <v>4.5341183083000489E-2</v>
      </c>
      <c r="G144" s="84">
        <v>5.7785331592833222E-2</v>
      </c>
      <c r="H144" s="84">
        <v>3.3244652740692208E-2</v>
      </c>
      <c r="I144" s="84">
        <v>7951.1489065989881</v>
      </c>
      <c r="J144" s="84">
        <v>37.203941446703766</v>
      </c>
      <c r="K144" s="84">
        <v>74.444690070180542</v>
      </c>
      <c r="L144" s="252">
        <v>0.57531300460366919</v>
      </c>
      <c r="M144" s="84">
        <v>4.7456399164414294E-4</v>
      </c>
      <c r="N144" s="84">
        <v>9.3906018660048138E-6</v>
      </c>
      <c r="O144" s="84">
        <v>3.1323491682190164E-3</v>
      </c>
      <c r="P144" s="84">
        <v>2.8164900135791379E-3</v>
      </c>
      <c r="Q144" s="84">
        <v>3.2410559552256179E-3</v>
      </c>
      <c r="R144" s="84">
        <v>3.0152222916079948E-3</v>
      </c>
      <c r="S144" s="84">
        <v>3.0783633803531055E-3</v>
      </c>
      <c r="T144" s="84">
        <v>3.0471630424845522E-3</v>
      </c>
      <c r="U144" s="84">
        <v>2.8948569059569535E-3</v>
      </c>
      <c r="V144" s="84">
        <v>3.0163309672165519E-3</v>
      </c>
      <c r="W144" s="84">
        <v>2.8182172970002022E-3</v>
      </c>
      <c r="X144" s="84">
        <v>3.2133032354779291E-3</v>
      </c>
      <c r="Y144" s="84">
        <v>2.843598659029176E-3</v>
      </c>
      <c r="Z144" s="84">
        <v>3.0959355804564366E-3</v>
      </c>
      <c r="AA144" s="84"/>
      <c r="AB144" s="84">
        <v>1.3298691575159259E-3</v>
      </c>
      <c r="AC144" s="84">
        <v>1.1425845477991557E-3</v>
      </c>
      <c r="AD144" s="84">
        <v>1.0959791352507778E-3</v>
      </c>
      <c r="AE144" s="84">
        <v>1.1443849369074568E-3</v>
      </c>
      <c r="AF144" s="84">
        <v>1.1227950588839298E-3</v>
      </c>
      <c r="AG144" s="84">
        <v>9.8522152761666031E-4</v>
      </c>
      <c r="AH144" s="84">
        <v>1.1567753107066827E-3</v>
      </c>
      <c r="AI144" s="84">
        <v>9.4867276251762772E-4</v>
      </c>
      <c r="AJ144" s="84">
        <v>1.1679190741767946E-3</v>
      </c>
      <c r="AK144" s="84">
        <v>1.0489735154418532E-3</v>
      </c>
      <c r="AL144" s="84">
        <v>1.2585526655493594E-3</v>
      </c>
      <c r="AM144" s="93">
        <v>1.3390174776961577E-3</v>
      </c>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c r="BT144" s="93"/>
      <c r="BU144" s="93"/>
      <c r="BV144" s="93"/>
      <c r="BW144" s="93"/>
      <c r="BX144" s="93"/>
      <c r="BY144" s="93"/>
      <c r="BZ144" s="93"/>
      <c r="CA144" s="93"/>
      <c r="CB144" s="93"/>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row>
    <row r="145" spans="1:131">
      <c r="A145" s="71" t="s">
        <v>503</v>
      </c>
      <c r="B145" s="71"/>
      <c r="C145" s="84">
        <v>0.41512223336099691</v>
      </c>
      <c r="D145" s="84">
        <v>0.31606351396005627</v>
      </c>
      <c r="E145" s="84">
        <v>6.3212702792011258E-2</v>
      </c>
      <c r="F145" s="84">
        <v>0.37927621675206752</v>
      </c>
      <c r="G145" s="84">
        <v>0.48337075612194547</v>
      </c>
      <c r="H145" s="84">
        <v>0.27626809167981287</v>
      </c>
      <c r="I145" s="84">
        <v>8003.5695314320774</v>
      </c>
      <c r="J145" s="84">
        <v>37.519587363949931</v>
      </c>
      <c r="K145" s="84">
        <v>75.005858154729395</v>
      </c>
      <c r="L145" s="252">
        <v>0.57154490250153978</v>
      </c>
      <c r="M145" s="84">
        <v>3.9436985362462365E-3</v>
      </c>
      <c r="N145" s="84">
        <v>7.8037321595196869E-5</v>
      </c>
      <c r="O145" s="84">
        <v>2.6030295275711723E-2</v>
      </c>
      <c r="P145" s="84">
        <v>2.3405457935024215E-2</v>
      </c>
      <c r="Q145" s="84">
        <v>2.6933665114861751E-2</v>
      </c>
      <c r="R145" s="84">
        <v>2.5056953218625461E-2</v>
      </c>
      <c r="S145" s="84">
        <v>2.5581665214574383E-2</v>
      </c>
      <c r="T145" s="84">
        <v>2.5322385688632456E-2</v>
      </c>
      <c r="U145" s="84">
        <v>2.4056698661674848E-2</v>
      </c>
      <c r="V145" s="84">
        <v>2.5066166480591436E-2</v>
      </c>
      <c r="W145" s="84">
        <v>2.3419811921460764E-2</v>
      </c>
      <c r="X145" s="84">
        <v>2.6703035816868399E-2</v>
      </c>
      <c r="Y145" s="84">
        <v>2.3630734878204305E-2</v>
      </c>
      <c r="Z145" s="84">
        <v>2.5727692854779539E-2</v>
      </c>
      <c r="AA145" s="84"/>
      <c r="AB145" s="84">
        <v>1.1051413807702646E-2</v>
      </c>
      <c r="AC145" s="84">
        <v>9.4950503789423026E-3</v>
      </c>
      <c r="AD145" s="84">
        <v>9.1077523527869336E-3</v>
      </c>
      <c r="AE145" s="84">
        <v>9.5100118846951562E-3</v>
      </c>
      <c r="AF145" s="84">
        <v>9.3305967334019989E-3</v>
      </c>
      <c r="AG145" s="84">
        <v>8.1873398840880043E-3</v>
      </c>
      <c r="AH145" s="84">
        <v>9.6129777646943113E-3</v>
      </c>
      <c r="AI145" s="84">
        <v>7.8836141190477757E-3</v>
      </c>
      <c r="AJ145" s="84">
        <v>9.705584124340555E-3</v>
      </c>
      <c r="AK145" s="84">
        <v>8.7171285437752932E-3</v>
      </c>
      <c r="AL145" s="84">
        <v>1.0458762974662486E-2</v>
      </c>
      <c r="AM145" s="93">
        <v>1.1127437731850152E-2</v>
      </c>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3"/>
      <c r="BU145" s="93"/>
      <c r="BV145" s="93"/>
      <c r="BW145" s="93"/>
      <c r="BX145" s="93"/>
      <c r="BY145" s="93"/>
      <c r="BZ145" s="93"/>
      <c r="CA145" s="93"/>
      <c r="CB145" s="93"/>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row>
    <row r="146" spans="1:131">
      <c r="A146" s="71" t="s">
        <v>507</v>
      </c>
      <c r="B146" s="71"/>
      <c r="C146" s="84">
        <v>0.1140556994609167</v>
      </c>
      <c r="D146" s="84">
        <v>9.4553141516109079E-2</v>
      </c>
      <c r="E146" s="84">
        <v>1.8910628303221818E-2</v>
      </c>
      <c r="F146" s="84">
        <v>0.1134637698193309</v>
      </c>
      <c r="G146" s="84">
        <v>0.14460455411542061</v>
      </c>
      <c r="H146" s="84">
        <v>7.5905234417719528E-2</v>
      </c>
      <c r="I146" s="84">
        <v>8714.5370929747478</v>
      </c>
      <c r="J146" s="84">
        <v>41.800612414871154</v>
      </c>
      <c r="K146" s="84">
        <v>82.616837725415991</v>
      </c>
      <c r="L146" s="252">
        <v>0.5249159328490679</v>
      </c>
      <c r="M146" s="84">
        <v>1.0835393984388276E-3</v>
      </c>
      <c r="N146" s="84">
        <v>2.1440916875335303E-5</v>
      </c>
      <c r="O146" s="84">
        <v>7.1518779199274789E-3</v>
      </c>
      <c r="P146" s="84">
        <v>6.430698385795173E-3</v>
      </c>
      <c r="Q146" s="84">
        <v>7.4000806674458276E-3</v>
      </c>
      <c r="R146" s="84">
        <v>6.8844501595859593E-3</v>
      </c>
      <c r="S146" s="84">
        <v>7.0286158748957541E-3</v>
      </c>
      <c r="T146" s="84">
        <v>6.9573782843485752E-3</v>
      </c>
      <c r="U146" s="84">
        <v>6.6096281337737171E-3</v>
      </c>
      <c r="V146" s="84">
        <v>6.8869815225277558E-3</v>
      </c>
      <c r="W146" s="84">
        <v>6.4346421735075729E-3</v>
      </c>
      <c r="X146" s="84">
        <v>7.3367147867849924E-3</v>
      </c>
      <c r="Y146" s="84">
        <v>6.4925936958073402E-3</v>
      </c>
      <c r="Z146" s="84">
        <v>7.068737273620603E-3</v>
      </c>
      <c r="AA146" s="84"/>
      <c r="AB146" s="84">
        <v>3.036398994253404E-3</v>
      </c>
      <c r="AC146" s="84">
        <v>2.6087848960022896E-3</v>
      </c>
      <c r="AD146" s="84">
        <v>2.5023739555057128E-3</v>
      </c>
      <c r="AE146" s="84">
        <v>2.6128956009139831E-3</v>
      </c>
      <c r="AF146" s="84">
        <v>2.5636009138794011E-3</v>
      </c>
      <c r="AG146" s="84">
        <v>2.2494887099719844E-3</v>
      </c>
      <c r="AH146" s="84">
        <v>2.6411856912057739E-3</v>
      </c>
      <c r="AI146" s="84">
        <v>2.1660394225283979E-3</v>
      </c>
      <c r="AJ146" s="84">
        <v>2.6666294816731382E-3</v>
      </c>
      <c r="AK146" s="84">
        <v>2.395049249232594E-3</v>
      </c>
      <c r="AL146" s="84">
        <v>2.8735669417487421E-3</v>
      </c>
      <c r="AM146" s="93">
        <v>3.0572867259805246E-3</v>
      </c>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c r="BT146" s="93"/>
      <c r="BU146" s="93"/>
      <c r="BV146" s="93"/>
      <c r="BW146" s="93"/>
      <c r="BX146" s="93"/>
      <c r="BY146" s="93"/>
      <c r="BZ146" s="93"/>
      <c r="CA146" s="93"/>
      <c r="CB146" s="93"/>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row>
    <row r="147" spans="1:131">
      <c r="A147" s="71" t="s">
        <v>506</v>
      </c>
      <c r="B147" s="71"/>
      <c r="C147" s="84">
        <v>0.114179434646312</v>
      </c>
      <c r="D147" s="84">
        <v>9.4553141516109079E-2</v>
      </c>
      <c r="E147" s="84">
        <v>1.8910628303221818E-2</v>
      </c>
      <c r="F147" s="84">
        <v>0.1134637698193309</v>
      </c>
      <c r="G147" s="84">
        <v>0.14460455411542061</v>
      </c>
      <c r="H147" s="84">
        <v>6.9269695287051486E-2</v>
      </c>
      <c r="I147" s="84">
        <v>8705.0932306349714</v>
      </c>
      <c r="J147" s="84">
        <v>47.188299962924575</v>
      </c>
      <c r="K147" s="84">
        <v>87.960293111858334</v>
      </c>
      <c r="L147" s="252">
        <v>0.47902844907472092</v>
      </c>
      <c r="M147" s="84">
        <v>1.0847072646662681E-3</v>
      </c>
      <c r="N147" s="84">
        <v>1.0514952932098688E-5</v>
      </c>
      <c r="O147" s="84">
        <v>8.5601800417661935E-3</v>
      </c>
      <c r="P147" s="84">
        <v>7.852428451420675E-3</v>
      </c>
      <c r="Q147" s="84">
        <v>8.6422570003630208E-3</v>
      </c>
      <c r="R147" s="84">
        <v>8.2151763844504171E-3</v>
      </c>
      <c r="S147" s="84">
        <v>8.4058880309851574E-3</v>
      </c>
      <c r="T147" s="84">
        <v>8.0471026760579531E-3</v>
      </c>
      <c r="U147" s="84">
        <v>7.1199936584139647E-3</v>
      </c>
      <c r="V147" s="84">
        <v>8.3786535662772228E-3</v>
      </c>
      <c r="W147" s="84">
        <v>8.6420014582591579E-3</v>
      </c>
      <c r="X147" s="84">
        <v>8.8228044495565153E-3</v>
      </c>
      <c r="Y147" s="84">
        <v>7.3884119599479199E-3</v>
      </c>
      <c r="Z147" s="84">
        <v>7.604401314533802E-3</v>
      </c>
      <c r="AA147" s="84"/>
      <c r="AB147" s="84">
        <v>2.4507005249087281E-3</v>
      </c>
      <c r="AC147" s="84">
        <v>1.8099829192867623E-3</v>
      </c>
      <c r="AD147" s="84">
        <v>1.4849267499739984E-3</v>
      </c>
      <c r="AE147" s="84">
        <v>1.1992489659343737E-3</v>
      </c>
      <c r="AF147" s="84">
        <v>1.0332597681775892E-3</v>
      </c>
      <c r="AG147" s="84">
        <v>9.0367397140339437E-4</v>
      </c>
      <c r="AH147" s="84">
        <v>8.8580434949158716E-4</v>
      </c>
      <c r="AI147" s="84">
        <v>9.2664522486638563E-4</v>
      </c>
      <c r="AJ147" s="84">
        <v>1.1922744522358348E-3</v>
      </c>
      <c r="AK147" s="84">
        <v>9.133300987017054E-4</v>
      </c>
      <c r="AL147" s="84">
        <v>1.4855288065408819E-3</v>
      </c>
      <c r="AM147" s="93">
        <v>2.214759822758755E-3</v>
      </c>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c r="BT147" s="93"/>
      <c r="BU147" s="93"/>
      <c r="BV147" s="93"/>
      <c r="BW147" s="93"/>
      <c r="BX147" s="93"/>
      <c r="BY147" s="93"/>
      <c r="BZ147" s="93"/>
      <c r="CA147" s="93"/>
      <c r="CB147" s="93"/>
      <c r="CC147" s="93"/>
      <c r="CD147" s="93"/>
      <c r="CE147" s="93"/>
      <c r="CF147" s="93"/>
      <c r="CG147" s="93"/>
      <c r="CH147" s="93"/>
      <c r="CI147" s="93"/>
      <c r="CJ147" s="93"/>
      <c r="CK147" s="93"/>
      <c r="CL147" s="93"/>
      <c r="CM147" s="93"/>
      <c r="CN147" s="93"/>
      <c r="CO147" s="93"/>
      <c r="CP147" s="93"/>
      <c r="CQ147" s="93"/>
      <c r="CR147" s="93"/>
      <c r="CS147" s="93"/>
      <c r="CT147" s="93"/>
      <c r="CU147" s="93"/>
      <c r="CV147" s="93"/>
      <c r="CW147" s="93"/>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row>
    <row r="148" spans="1:131">
      <c r="A148" s="71"/>
      <c r="B148" s="71"/>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3"/>
      <c r="BR148" s="93"/>
      <c r="BS148" s="93"/>
      <c r="BT148" s="93"/>
      <c r="BU148" s="93"/>
      <c r="BV148" s="93"/>
      <c r="BW148" s="93"/>
      <c r="BX148" s="93"/>
      <c r="BY148" s="93"/>
      <c r="BZ148" s="93"/>
      <c r="CA148" s="93"/>
      <c r="CB148" s="93"/>
      <c r="CC148" s="93"/>
      <c r="CD148" s="93"/>
      <c r="CE148" s="93"/>
      <c r="CF148" s="93"/>
      <c r="CG148" s="93"/>
      <c r="CH148" s="93"/>
      <c r="CI148" s="93"/>
      <c r="CJ148" s="93"/>
      <c r="CK148" s="93"/>
      <c r="CL148" s="93"/>
      <c r="CM148" s="93"/>
      <c r="CN148" s="93"/>
      <c r="CO148" s="93"/>
      <c r="CP148" s="93"/>
      <c r="CQ148" s="93"/>
      <c r="CR148" s="93"/>
      <c r="CS148" s="93"/>
      <c r="CT148" s="93"/>
      <c r="CU148" s="93"/>
      <c r="CV148" s="93"/>
      <c r="CW148" s="93"/>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5"/>
  <dimension ref="A1:O55"/>
  <sheetViews>
    <sheetView topLeftCell="D1" workbookViewId="0">
      <selection activeCell="N11" sqref="N11"/>
    </sheetView>
  </sheetViews>
  <sheetFormatPr defaultRowHeight="12.75"/>
  <cols>
    <col min="1" max="1" width="45.28515625" customWidth="1"/>
    <col min="2" max="2" width="30.140625" customWidth="1"/>
    <col min="3" max="3" width="37.140625" customWidth="1"/>
    <col min="4" max="4" width="47.5703125" customWidth="1"/>
    <col min="5" max="5" width="11.28515625" customWidth="1"/>
    <col min="6" max="6" width="9.7109375" customWidth="1"/>
    <col min="7" max="7" width="13.140625" customWidth="1"/>
    <col min="8" max="8" width="9.42578125" customWidth="1"/>
    <col min="9" max="9" width="9" customWidth="1"/>
    <col min="10" max="10" width="13.85546875" customWidth="1"/>
    <col min="11" max="12" width="13.28515625" customWidth="1"/>
    <col min="13" max="13" width="12.85546875" customWidth="1"/>
    <col min="14" max="14" width="11.7109375" customWidth="1"/>
  </cols>
  <sheetData>
    <row r="1" spans="1:15" ht="15.75">
      <c r="A1" s="107" t="s">
        <v>315</v>
      </c>
    </row>
    <row r="9" spans="1:15" s="112" customFormat="1">
      <c r="A9" s="108"/>
      <c r="B9" s="108"/>
      <c r="C9" s="108"/>
      <c r="D9" s="108"/>
      <c r="E9" s="108"/>
      <c r="F9" s="108"/>
      <c r="G9" s="108"/>
      <c r="H9" s="108"/>
      <c r="I9" s="108"/>
      <c r="J9" s="108"/>
      <c r="K9" s="110" t="s">
        <v>316</v>
      </c>
      <c r="L9" s="108"/>
      <c r="M9" s="108" t="s">
        <v>317</v>
      </c>
      <c r="N9" s="111" t="s">
        <v>318</v>
      </c>
    </row>
    <row r="10" spans="1:15" s="116" customFormat="1" ht="70.5" customHeight="1">
      <c r="A10" s="113" t="s">
        <v>319</v>
      </c>
      <c r="B10" s="113" t="s">
        <v>320</v>
      </c>
      <c r="C10" s="113" t="s">
        <v>321</v>
      </c>
      <c r="D10" s="114" t="s">
        <v>322</v>
      </c>
      <c r="E10" s="113" t="s">
        <v>323</v>
      </c>
      <c r="F10" s="113" t="s">
        <v>324</v>
      </c>
      <c r="G10" s="109" t="s">
        <v>24</v>
      </c>
      <c r="H10" s="109" t="s">
        <v>768</v>
      </c>
      <c r="I10" s="109" t="s">
        <v>769</v>
      </c>
      <c r="J10" s="109" t="s">
        <v>454</v>
      </c>
      <c r="K10" s="115" t="s">
        <v>327</v>
      </c>
      <c r="L10" s="109" t="s">
        <v>328</v>
      </c>
      <c r="M10" s="109" t="s">
        <v>329</v>
      </c>
      <c r="N10" s="109" t="s">
        <v>330</v>
      </c>
    </row>
    <row r="11" spans="1:15" s="233" customFormat="1">
      <c r="A11" s="117" t="str">
        <f t="shared" ref="A11:A46" si="0">CONCATENATE(C11,"-",E11)</f>
        <v>Advanced Rooftop Controller-Retro-Large Off</v>
      </c>
      <c r="B11" s="118" t="s">
        <v>332</v>
      </c>
      <c r="C11" s="117" t="str">
        <f t="shared" ref="C11:C46" si="1">CONCATENATE(B11,"-",F11)</f>
        <v>Advanced Rooftop Controller-Retro</v>
      </c>
      <c r="D11" s="117" t="str">
        <f t="shared" ref="D11:D46" si="2">CONCATENATE(C11,"-",E11)</f>
        <v>Advanced Rooftop Controller-Retro-Large Off</v>
      </c>
      <c r="E11" s="118" t="s">
        <v>293</v>
      </c>
      <c r="F11" s="118" t="s">
        <v>179</v>
      </c>
      <c r="G11" s="119">
        <f>1/VLOOKUP(C11,[1]TURN!$B$10:$V$91,L11,FALSE)</f>
        <v>15</v>
      </c>
      <c r="H11" s="231">
        <f>VLOOKUP($E11,'Market Data'!$J$54:$K$71,2,FALSE)</f>
        <v>0.11506921726474252</v>
      </c>
      <c r="I11" s="231">
        <f>VLOOKUP($E11,'Market Data'!$J$54:$L$71,3,FALSE)</f>
        <v>8.6958816167838432E-2</v>
      </c>
      <c r="J11" s="121" t="s">
        <v>452</v>
      </c>
      <c r="K11" s="232">
        <f t="shared" ref="K11:K28" si="3">VLOOKUP(K$9,V_PRE2013,L11,FALSE)</f>
        <v>0.76889412716362515</v>
      </c>
      <c r="L11" s="121">
        <f>MATCH(E11,[1]!BLDGTYPE,0)</f>
        <v>2</v>
      </c>
      <c r="M11" s="120">
        <f t="shared" ref="M11:M28" si="4">VLOOKUP($M$9,V_PRE2013,$L11,FALSE)</f>
        <v>0.43937391922213881</v>
      </c>
      <c r="N11" s="120">
        <f t="shared" ref="N11:N28" si="5">VLOOKUP($N$9,V_PRE2013,$L11,FALSE)</f>
        <v>9.6336650827114415E-2</v>
      </c>
      <c r="O11" s="234"/>
    </row>
    <row r="12" spans="1:15" s="26" customFormat="1">
      <c r="A12" s="117" t="str">
        <f t="shared" si="0"/>
        <v>Advanced Rooftop Controller-Retro-Medium Off</v>
      </c>
      <c r="B12" s="118" t="s">
        <v>332</v>
      </c>
      <c r="C12" s="117" t="str">
        <f t="shared" si="1"/>
        <v>Advanced Rooftop Controller-Retro</v>
      </c>
      <c r="D12" s="117" t="str">
        <f t="shared" si="2"/>
        <v>Advanced Rooftop Controller-Retro-Medium Off</v>
      </c>
      <c r="E12" s="122" t="s">
        <v>294</v>
      </c>
      <c r="F12" s="118" t="s">
        <v>179</v>
      </c>
      <c r="G12" s="119">
        <f>1/VLOOKUP(C12,[1]TURN!$B$10:$V$91,L12,FALSE)</f>
        <v>15</v>
      </c>
      <c r="H12" s="231">
        <f>VLOOKUP(E12,'Market Data'!$J$54:$K$71,2,FALSE)</f>
        <v>0.38623376009711341</v>
      </c>
      <c r="I12" s="231">
        <f>VLOOKUP($E12,'Market Data'!$J$54:$L$71,3,FALSE)</f>
        <v>0.31606351396005627</v>
      </c>
      <c r="J12" s="121" t="s">
        <v>452</v>
      </c>
      <c r="K12" s="232">
        <f t="shared" si="3"/>
        <v>0.9156533727398849</v>
      </c>
      <c r="L12" s="121">
        <f>MATCH(E12,[1]!BLDGTYPE,0)</f>
        <v>3</v>
      </c>
      <c r="M12" s="120">
        <f t="shared" si="4"/>
        <v>0.43063730719145626</v>
      </c>
      <c r="N12" s="120">
        <f t="shared" si="5"/>
        <v>9.4421070712341362E-2</v>
      </c>
    </row>
    <row r="13" spans="1:15" s="26" customFormat="1">
      <c r="A13" s="117" t="str">
        <f t="shared" si="0"/>
        <v>Advanced Rooftop Controller-Retro-Small Off</v>
      </c>
      <c r="B13" s="118" t="s">
        <v>332</v>
      </c>
      <c r="C13" s="117" t="str">
        <f t="shared" si="1"/>
        <v>Advanced Rooftop Controller-Retro</v>
      </c>
      <c r="D13" s="117" t="str">
        <f t="shared" si="2"/>
        <v>Advanced Rooftop Controller-Retro-Small Off</v>
      </c>
      <c r="E13" s="122" t="s">
        <v>295</v>
      </c>
      <c r="F13" s="118" t="s">
        <v>179</v>
      </c>
      <c r="G13" s="119">
        <f>1/VLOOKUP(C13,[1]TURN!$B$10:$V$91,L13,FALSE)</f>
        <v>15</v>
      </c>
      <c r="H13" s="231">
        <f>VLOOKUP(E13,'Market Data'!$J$54:$K$71,2,FALSE)</f>
        <v>0.26506590770984895</v>
      </c>
      <c r="I13" s="231">
        <f>VLOOKUP($E13,'Market Data'!$J$54:$L$71,3,FALSE)</f>
        <v>0.19999195139965231</v>
      </c>
      <c r="J13" s="121" t="s">
        <v>452</v>
      </c>
      <c r="K13" s="232">
        <f t="shared" si="3"/>
        <v>0.85579006639653332</v>
      </c>
      <c r="L13" s="121">
        <f>MATCH(E13,[1]!BLDGTYPE,0)</f>
        <v>4</v>
      </c>
      <c r="M13" s="120">
        <f t="shared" si="4"/>
        <v>0.12998877358640493</v>
      </c>
      <c r="N13" s="120">
        <f t="shared" si="5"/>
        <v>2.8501198056107426E-2</v>
      </c>
    </row>
    <row r="14" spans="1:15" s="26" customFormat="1">
      <c r="A14" s="117" t="str">
        <f t="shared" si="0"/>
        <v>Advanced Rooftop Controller-Retro-Xlarge Ret</v>
      </c>
      <c r="B14" s="118" t="s">
        <v>332</v>
      </c>
      <c r="C14" s="117" t="str">
        <f t="shared" si="1"/>
        <v>Advanced Rooftop Controller-Retro</v>
      </c>
      <c r="D14" s="117" t="str">
        <f t="shared" si="2"/>
        <v>Advanced Rooftop Controller-Retro-Xlarge Ret</v>
      </c>
      <c r="E14" s="122" t="s">
        <v>351</v>
      </c>
      <c r="F14" s="118" t="s">
        <v>179</v>
      </c>
      <c r="G14" s="119">
        <f>1/VLOOKUP(C14,[1]TURN!$B$10:$V$91,L14,FALSE)</f>
        <v>15</v>
      </c>
      <c r="H14" s="231">
        <f>VLOOKUP(E14,'Market Data'!$J$54:$K$71,2,FALSE)</f>
        <v>0.93646687385369998</v>
      </c>
      <c r="I14" s="231">
        <f>VLOOKUP($E14,'Market Data'!$J$54:$L$71,3,FALSE)</f>
        <v>0.1811789556978993</v>
      </c>
      <c r="J14" s="121" t="s">
        <v>452</v>
      </c>
      <c r="K14" s="232">
        <f t="shared" si="3"/>
        <v>0.95160006380782447</v>
      </c>
      <c r="L14" s="121">
        <f>MATCH(E14,[1]!BLDGTYPE,0)</f>
        <v>5</v>
      </c>
      <c r="M14" s="120">
        <f t="shared" si="4"/>
        <v>0.23462323739305441</v>
      </c>
      <c r="N14" s="120">
        <f t="shared" si="5"/>
        <v>3.999473857861454E-2</v>
      </c>
    </row>
    <row r="15" spans="1:15" s="26" customFormat="1">
      <c r="A15" s="117" t="str">
        <f t="shared" si="0"/>
        <v>Advanced Rooftop Controller-Retro-Large Ret</v>
      </c>
      <c r="B15" s="118" t="s">
        <v>332</v>
      </c>
      <c r="C15" s="117" t="str">
        <f t="shared" si="1"/>
        <v>Advanced Rooftop Controller-Retro</v>
      </c>
      <c r="D15" s="117" t="str">
        <f t="shared" si="2"/>
        <v>Advanced Rooftop Controller-Retro-Large Ret</v>
      </c>
      <c r="E15" s="122" t="s">
        <v>309</v>
      </c>
      <c r="F15" s="118" t="s">
        <v>179</v>
      </c>
      <c r="G15" s="119">
        <f>1/VLOOKUP(C15,[1]TURN!$B$10:$V$91,L15,FALSE)</f>
        <v>15</v>
      </c>
      <c r="H15" s="231">
        <f>VLOOKUP(E15,'Market Data'!$J$54:$K$71,2,FALSE)</f>
        <v>1.1497311538054293</v>
      </c>
      <c r="I15" s="231">
        <f>VLOOKUP($E15,'Market Data'!$J$54:$L$71,3,FALSE)</f>
        <v>0.18359410174555876</v>
      </c>
      <c r="J15" s="121" t="s">
        <v>452</v>
      </c>
      <c r="K15" s="232">
        <f t="shared" si="3"/>
        <v>0.98526989662125641</v>
      </c>
      <c r="L15" s="121">
        <f>MATCH(E15,[1]!BLDGTYPE,0)</f>
        <v>6</v>
      </c>
      <c r="M15" s="120">
        <f t="shared" si="4"/>
        <v>5.5262096022427078E-2</v>
      </c>
      <c r="N15" s="120">
        <f t="shared" si="5"/>
        <v>9.4201798094731004E-3</v>
      </c>
    </row>
    <row r="16" spans="1:15" s="26" customFormat="1">
      <c r="A16" s="117" t="str">
        <f t="shared" si="0"/>
        <v>Advanced Rooftop Controller-Retro-Medium Ret</v>
      </c>
      <c r="B16" s="118" t="s">
        <v>332</v>
      </c>
      <c r="C16" s="117" t="str">
        <f t="shared" si="1"/>
        <v>Advanced Rooftop Controller-Retro</v>
      </c>
      <c r="D16" s="117" t="str">
        <f t="shared" si="2"/>
        <v>Advanced Rooftop Controller-Retro-Medium Ret</v>
      </c>
      <c r="E16" s="122" t="s">
        <v>308</v>
      </c>
      <c r="F16" s="118" t="s">
        <v>179</v>
      </c>
      <c r="G16" s="119">
        <f>1/VLOOKUP(C16,[1]TURN!$B$10:$V$91,L16,FALSE)</f>
        <v>15</v>
      </c>
      <c r="H16" s="231">
        <f>VLOOKUP(E16,'Market Data'!$J$54:$K$71,2,FALSE)</f>
        <v>0.39486164846664223</v>
      </c>
      <c r="I16" s="231">
        <f>VLOOKUP($E16,'Market Data'!$J$54:$L$71,3,FALSE)</f>
        <v>0.11606750141743268</v>
      </c>
      <c r="J16" s="121" t="s">
        <v>452</v>
      </c>
      <c r="K16" s="232">
        <f t="shared" si="3"/>
        <v>0.65234151837252696</v>
      </c>
      <c r="L16" s="121">
        <f>MATCH(E16,[1]!BLDGTYPE,0)</f>
        <v>7</v>
      </c>
      <c r="M16" s="120">
        <f t="shared" si="4"/>
        <v>0.60637878991755256</v>
      </c>
      <c r="N16" s="120">
        <f t="shared" si="5"/>
        <v>0.10336555514209726</v>
      </c>
    </row>
    <row r="17" spans="1:14" s="26" customFormat="1">
      <c r="A17" s="117" t="str">
        <f t="shared" si="0"/>
        <v>Advanced Rooftop Controller-Retro-Small Ret</v>
      </c>
      <c r="B17" s="118" t="s">
        <v>332</v>
      </c>
      <c r="C17" s="117" t="str">
        <f t="shared" si="1"/>
        <v>Advanced Rooftop Controller-Retro</v>
      </c>
      <c r="D17" s="117" t="str">
        <f t="shared" si="2"/>
        <v>Advanced Rooftop Controller-Retro-Small Ret</v>
      </c>
      <c r="E17" s="122" t="s">
        <v>310</v>
      </c>
      <c r="F17" s="118" t="s">
        <v>179</v>
      </c>
      <c r="G17" s="119">
        <f>1/VLOOKUP(C17,[1]TURN!$B$10:$V$91,L17,FALSE)</f>
        <v>15</v>
      </c>
      <c r="H17" s="231">
        <f>VLOOKUP(E17,'Market Data'!$J$54:$K$71,2,FALSE)</f>
        <v>2.6514568417845316E-2</v>
      </c>
      <c r="I17" s="231">
        <f>VLOOKUP($E17,'Market Data'!$J$54:$L$71,3,FALSE)</f>
        <v>2.1088272602037467E-2</v>
      </c>
      <c r="J17" s="121" t="s">
        <v>452</v>
      </c>
      <c r="K17" s="232">
        <f t="shared" si="3"/>
        <v>0.66014461756611731</v>
      </c>
      <c r="L17" s="121">
        <f>MATCH(E17,[1]!BLDGTYPE,0)</f>
        <v>8</v>
      </c>
      <c r="M17" s="120">
        <f t="shared" si="4"/>
        <v>0.10373587666696588</v>
      </c>
      <c r="N17" s="120">
        <f t="shared" si="5"/>
        <v>1.7683198453051097E-2</v>
      </c>
    </row>
    <row r="18" spans="1:14" s="26" customFormat="1">
      <c r="A18" s="117" t="str">
        <f t="shared" si="0"/>
        <v>Advanced Rooftop Controller-Retro-School K-12</v>
      </c>
      <c r="B18" s="118" t="s">
        <v>332</v>
      </c>
      <c r="C18" s="117" t="str">
        <f t="shared" si="1"/>
        <v>Advanced Rooftop Controller-Retro</v>
      </c>
      <c r="D18" s="117" t="str">
        <f t="shared" si="2"/>
        <v>Advanced Rooftop Controller-Retro-School K-12</v>
      </c>
      <c r="E18" s="122" t="s">
        <v>314</v>
      </c>
      <c r="F18" s="118" t="s">
        <v>179</v>
      </c>
      <c r="G18" s="119">
        <f>1/VLOOKUP(C18,[1]TURN!$B$10:$V$91,L18,FALSE)</f>
        <v>15</v>
      </c>
      <c r="H18" s="231">
        <f>VLOOKUP(E18,'Market Data'!$J$54:$K$71,2,FALSE)</f>
        <v>0.10611853117726823</v>
      </c>
      <c r="I18" s="231">
        <f>VLOOKUP($E18,'Market Data'!$J$54:$L$71,3,FALSE)</f>
        <v>9.4553141516109079E-2</v>
      </c>
      <c r="J18" s="121" t="s">
        <v>452</v>
      </c>
      <c r="K18" s="232">
        <f t="shared" si="3"/>
        <v>0.69618308739231149</v>
      </c>
      <c r="L18" s="121">
        <f>MATCH(E18,[1]!BLDGTYPE,0)</f>
        <v>9</v>
      </c>
      <c r="M18" s="120">
        <f t="shared" si="4"/>
        <v>0.66429751499430445</v>
      </c>
      <c r="N18" s="120">
        <f t="shared" si="5"/>
        <v>7.3255633922263544E-2</v>
      </c>
    </row>
    <row r="19" spans="1:14" s="26" customFormat="1">
      <c r="A19" s="117" t="str">
        <f t="shared" si="0"/>
        <v>Advanced Rooftop Controller-Retro-University</v>
      </c>
      <c r="B19" s="118" t="s">
        <v>332</v>
      </c>
      <c r="C19" s="117" t="str">
        <f t="shared" si="1"/>
        <v>Advanced Rooftop Controller-Retro</v>
      </c>
      <c r="D19" s="117" t="str">
        <f t="shared" si="2"/>
        <v>Advanced Rooftop Controller-Retro-University</v>
      </c>
      <c r="E19" s="122" t="s">
        <v>297</v>
      </c>
      <c r="F19" s="118" t="s">
        <v>179</v>
      </c>
      <c r="G19" s="119">
        <f>1/VLOOKUP(C19,[1]TURN!$B$10:$V$91,L19,FALSE)</f>
        <v>15</v>
      </c>
      <c r="H19" s="231">
        <f>VLOOKUP(E19,'Market Data'!$J$54:$K$71,2,FALSE)</f>
        <v>0.10611853117726823</v>
      </c>
      <c r="I19" s="231">
        <f>VLOOKUP($E19,'Market Data'!$J$54:$L$71,3,FALSE)</f>
        <v>9.4553141516109079E-2</v>
      </c>
      <c r="J19" s="121" t="s">
        <v>452</v>
      </c>
      <c r="K19" s="232">
        <f t="shared" si="3"/>
        <v>0.75</v>
      </c>
      <c r="L19" s="121">
        <f>MATCH(E19,[1]!BLDGTYPE,0)</f>
        <v>10</v>
      </c>
      <c r="M19" s="120">
        <f t="shared" si="4"/>
        <v>0.33570248500569549</v>
      </c>
      <c r="N19" s="120">
        <f t="shared" si="5"/>
        <v>3.701970546823774E-2</v>
      </c>
    </row>
    <row r="20" spans="1:14" s="26" customFormat="1">
      <c r="A20" s="117" t="str">
        <f t="shared" si="0"/>
        <v>Advanced Rooftop Controller-Retro-Warehouse</v>
      </c>
      <c r="B20" s="118" t="s">
        <v>332</v>
      </c>
      <c r="C20" s="117" t="str">
        <f t="shared" si="1"/>
        <v>Advanced Rooftop Controller-Retro</v>
      </c>
      <c r="D20" s="117" t="str">
        <f t="shared" si="2"/>
        <v>Advanced Rooftop Controller-Retro-Warehouse</v>
      </c>
      <c r="E20" s="122" t="s">
        <v>54</v>
      </c>
      <c r="F20" s="118" t="s">
        <v>179</v>
      </c>
      <c r="G20" s="119">
        <f>1/VLOOKUP(C20,[1]TURN!$B$10:$V$91,L20,FALSE)</f>
        <v>15</v>
      </c>
      <c r="H20" s="231">
        <f>VLOOKUP(E20,'Market Data'!$J$54:$K$71,2,FALSE)</f>
        <v>4.6477344354489553E-2</v>
      </c>
      <c r="I20" s="231">
        <f>VLOOKUP($E20,'Market Data'!$J$54:$L$71,3,FALSE)</f>
        <v>3.7784319235833738E-2</v>
      </c>
      <c r="J20" s="121" t="s">
        <v>452</v>
      </c>
      <c r="K20" s="232">
        <f t="shared" si="3"/>
        <v>0.23</v>
      </c>
      <c r="L20" s="121">
        <f>MATCH(E20,[1]!BLDGTYPE,0)</f>
        <v>11</v>
      </c>
      <c r="M20" s="120">
        <f t="shared" si="4"/>
        <v>1</v>
      </c>
      <c r="N20" s="120">
        <f t="shared" si="5"/>
        <v>0.13203580856943528</v>
      </c>
    </row>
    <row r="21" spans="1:14" s="26" customFormat="1">
      <c r="A21" s="117" t="str">
        <f t="shared" si="0"/>
        <v>Advanced Rooftop Controller-Retro-Supermarket</v>
      </c>
      <c r="B21" s="118" t="s">
        <v>332</v>
      </c>
      <c r="C21" s="117" t="str">
        <f t="shared" si="1"/>
        <v>Advanced Rooftop Controller-Retro</v>
      </c>
      <c r="D21" s="117" t="str">
        <f t="shared" si="2"/>
        <v>Advanced Rooftop Controller-Retro-Supermarket</v>
      </c>
      <c r="E21" s="122" t="s">
        <v>300</v>
      </c>
      <c r="F21" s="118" t="s">
        <v>179</v>
      </c>
      <c r="G21" s="119">
        <f>1/VLOOKUP(C21,[1]TURN!$B$10:$V$91,L21,FALSE)</f>
        <v>15</v>
      </c>
      <c r="H21" s="231">
        <f>VLOOKUP(E21,'Market Data'!$J$54:$K$71,2,FALSE)</f>
        <v>0.91933584896114628</v>
      </c>
      <c r="I21" s="231">
        <f>VLOOKUP($E21,'Market Data'!$J$54:$L$71,3,FALSE)</f>
        <v>0.29228310942328339</v>
      </c>
      <c r="J21" s="121" t="s">
        <v>452</v>
      </c>
      <c r="K21" s="232">
        <f t="shared" si="3"/>
        <v>0.89440943169321674</v>
      </c>
      <c r="L21" s="121">
        <f>MATCH(E21,[1]!BLDGTYPE,0)</f>
        <v>12</v>
      </c>
      <c r="M21" s="120">
        <f t="shared" si="4"/>
        <v>0.84840559081310307</v>
      </c>
      <c r="N21" s="120">
        <f t="shared" si="5"/>
        <v>1.9535504789016944E-2</v>
      </c>
    </row>
    <row r="22" spans="1:14" s="26" customFormat="1">
      <c r="A22" s="117" t="str">
        <f t="shared" si="0"/>
        <v>Advanced Rooftop Controller-Retro-MiniMart</v>
      </c>
      <c r="B22" s="118" t="s">
        <v>332</v>
      </c>
      <c r="C22" s="117" t="str">
        <f t="shared" si="1"/>
        <v>Advanced Rooftop Controller-Retro</v>
      </c>
      <c r="D22" s="117" t="str">
        <f t="shared" si="2"/>
        <v>Advanced Rooftop Controller-Retro-MiniMart</v>
      </c>
      <c r="E22" s="122" t="s">
        <v>350</v>
      </c>
      <c r="F22" s="118" t="s">
        <v>179</v>
      </c>
      <c r="G22" s="119">
        <f>1/VLOOKUP(C22,[1]TURN!$B$10:$V$91,L22,FALSE)</f>
        <v>15</v>
      </c>
      <c r="H22" s="231">
        <f>VLOOKUP(E22,'Market Data'!$J$54:$K$71,2,FALSE)</f>
        <v>0.91933584896114628</v>
      </c>
      <c r="I22" s="231">
        <f>VLOOKUP($E22,'Market Data'!$J$54:$L$71,3,FALSE)</f>
        <v>0.29228310942328339</v>
      </c>
      <c r="J22" s="121" t="s">
        <v>452</v>
      </c>
      <c r="K22" s="232">
        <f t="shared" si="3"/>
        <v>0.91392039395838554</v>
      </c>
      <c r="L22" s="121">
        <f>MATCH(E22,[1]!BLDGTYPE,0)</f>
        <v>13</v>
      </c>
      <c r="M22" s="120">
        <f t="shared" si="4"/>
        <v>0.15159440918689687</v>
      </c>
      <c r="N22" s="120">
        <f t="shared" si="5"/>
        <v>3.4906338887047794E-3</v>
      </c>
    </row>
    <row r="23" spans="1:14" s="26" customFormat="1">
      <c r="A23" s="117" t="str">
        <f t="shared" si="0"/>
        <v>Advanced Rooftop Controller-Retro-Restaurant</v>
      </c>
      <c r="B23" s="118" t="s">
        <v>332</v>
      </c>
      <c r="C23" s="117" t="str">
        <f t="shared" si="1"/>
        <v>Advanced Rooftop Controller-Retro</v>
      </c>
      <c r="D23" s="117" t="str">
        <f t="shared" si="2"/>
        <v>Advanced Rooftop Controller-Retro-Restaurant</v>
      </c>
      <c r="E23" s="122" t="s">
        <v>302</v>
      </c>
      <c r="F23" s="118" t="s">
        <v>179</v>
      </c>
      <c r="G23" s="119">
        <f>1/VLOOKUP(C23,[1]TURN!$B$10:$V$91,L23,FALSE)</f>
        <v>15</v>
      </c>
      <c r="H23" s="231">
        <f>VLOOKUP(E23,'Market Data'!$J$54:$K$71,2,FALSE)</f>
        <v>2.0063752897795508</v>
      </c>
      <c r="I23" s="231">
        <f>VLOOKUP($E23,'Market Data'!$J$54:$L$71,3,FALSE)</f>
        <v>0.73229385146975234</v>
      </c>
      <c r="J23" s="121" t="s">
        <v>452</v>
      </c>
      <c r="K23" s="232">
        <f t="shared" si="3"/>
        <v>0.9581056413122655</v>
      </c>
      <c r="L23" s="121">
        <f>MATCH(E23,[1]!BLDGTYPE,0)</f>
        <v>14</v>
      </c>
      <c r="M23" s="120">
        <f t="shared" si="4"/>
        <v>1</v>
      </c>
      <c r="N23" s="120">
        <f t="shared" si="5"/>
        <v>1.5835296654172451E-2</v>
      </c>
    </row>
    <row r="24" spans="1:14" s="26" customFormat="1">
      <c r="A24" s="117" t="str">
        <f t="shared" si="0"/>
        <v>Advanced Rooftop Controller-Retro-Lodging</v>
      </c>
      <c r="B24" s="118" t="s">
        <v>332</v>
      </c>
      <c r="C24" s="117" t="str">
        <f t="shared" si="1"/>
        <v>Advanced Rooftop Controller-Retro</v>
      </c>
      <c r="D24" s="117" t="str">
        <f t="shared" si="2"/>
        <v>Advanced Rooftop Controller-Retro-Lodging</v>
      </c>
      <c r="E24" s="122" t="s">
        <v>49</v>
      </c>
      <c r="F24" s="118" t="s">
        <v>179</v>
      </c>
      <c r="G24" s="119">
        <f>1/VLOOKUP(C24,[1]TURN!$B$10:$V$91,L24,FALSE)</f>
        <v>15</v>
      </c>
      <c r="H24" s="231">
        <f>VLOOKUP(E24,'Market Data'!$J$54:$K$71,2,FALSE)</f>
        <v>0.11384121765439638</v>
      </c>
      <c r="I24" s="231">
        <f>VLOOKUP($E24,'Market Data'!$J$54:$L$71,3,FALSE)</f>
        <v>6.186975639218098E-2</v>
      </c>
      <c r="J24" s="121" t="s">
        <v>452</v>
      </c>
      <c r="K24" s="232">
        <f t="shared" si="3"/>
        <v>0.82644591140120194</v>
      </c>
      <c r="L24" s="121">
        <f>MATCH(E24,[1]!BLDGTYPE,0)</f>
        <v>15</v>
      </c>
      <c r="M24" s="120">
        <f t="shared" si="4"/>
        <v>1</v>
      </c>
      <c r="N24" s="120">
        <f t="shared" si="5"/>
        <v>5.1068065124091046E-2</v>
      </c>
    </row>
    <row r="25" spans="1:14" s="26" customFormat="1">
      <c r="A25" s="117" t="str">
        <f t="shared" si="0"/>
        <v>Advanced Rooftop Controller-Retro-Hospital</v>
      </c>
      <c r="B25" s="118" t="s">
        <v>332</v>
      </c>
      <c r="C25" s="117" t="str">
        <f t="shared" si="1"/>
        <v>Advanced Rooftop Controller-Retro</v>
      </c>
      <c r="D25" s="117" t="str">
        <f t="shared" si="2"/>
        <v>Advanced Rooftop Controller-Retro-Hospital</v>
      </c>
      <c r="E25" s="122" t="s">
        <v>304</v>
      </c>
      <c r="F25" s="118" t="s">
        <v>179</v>
      </c>
      <c r="G25" s="119">
        <f>1/VLOOKUP(C25,[1]TURN!$B$10:$V$91,L25,FALSE)</f>
        <v>15</v>
      </c>
      <c r="H25" s="231">
        <f>VLOOKUP(E25,'Market Data'!$J$54:$K$71,2,FALSE)</f>
        <v>0.11384121765439638</v>
      </c>
      <c r="I25" s="231">
        <f>VLOOKUP($E25,'Market Data'!$J$54:$L$71,3,FALSE)</f>
        <v>6.186975639218098E-2</v>
      </c>
      <c r="J25" s="121" t="s">
        <v>452</v>
      </c>
      <c r="K25" s="232">
        <f t="shared" si="3"/>
        <v>0.95</v>
      </c>
      <c r="L25" s="121">
        <f>MATCH(E25,[1]!BLDGTYPE,0)</f>
        <v>16</v>
      </c>
      <c r="M25" s="120">
        <f t="shared" si="4"/>
        <v>1</v>
      </c>
      <c r="N25" s="120">
        <f t="shared" si="5"/>
        <v>3.0978070527759683E-2</v>
      </c>
    </row>
    <row r="26" spans="1:14" s="26" customFormat="1">
      <c r="A26" s="117" t="str">
        <f t="shared" si="0"/>
        <v>Advanced Rooftop Controller-Retro-Residential Care</v>
      </c>
      <c r="B26" s="118" t="s">
        <v>332</v>
      </c>
      <c r="C26" s="117" t="str">
        <f t="shared" si="1"/>
        <v>Advanced Rooftop Controller-Retro</v>
      </c>
      <c r="D26" s="117" t="str">
        <f t="shared" si="2"/>
        <v>Advanced Rooftop Controller-Retro-Residential Care</v>
      </c>
      <c r="E26" s="122" t="s">
        <v>51</v>
      </c>
      <c r="F26" s="118" t="s">
        <v>179</v>
      </c>
      <c r="G26" s="119">
        <f>1/VLOOKUP(C26,[1]TURN!$B$10:$V$91,L26,FALSE)</f>
        <v>15</v>
      </c>
      <c r="H26" s="231">
        <f>VLOOKUP(E26,'Market Data'!$J$54:$K$71,2,FALSE)</f>
        <v>0.70584176954140854</v>
      </c>
      <c r="I26" s="231">
        <f>VLOOKUP($E26,'Market Data'!$J$54:$L$71,3,FALSE)</f>
        <v>0.21500550974150753</v>
      </c>
      <c r="J26" s="121" t="s">
        <v>452</v>
      </c>
      <c r="K26" s="232">
        <f t="shared" si="3"/>
        <v>0.82648440258098632</v>
      </c>
      <c r="L26" s="121">
        <f>MATCH(E26,[1]!BLDGTYPE,0)</f>
        <v>17</v>
      </c>
      <c r="M26" s="120">
        <f t="shared" si="4"/>
        <v>1</v>
      </c>
      <c r="N26" s="120">
        <f t="shared" si="5"/>
        <v>3.7369486472404026E-2</v>
      </c>
    </row>
    <row r="27" spans="1:14" s="26" customFormat="1">
      <c r="A27" s="117" t="str">
        <f t="shared" si="0"/>
        <v>Advanced Rooftop Controller-Retro-Assembly</v>
      </c>
      <c r="B27" s="118" t="s">
        <v>332</v>
      </c>
      <c r="C27" s="117" t="str">
        <f t="shared" si="1"/>
        <v>Advanced Rooftop Controller-Retro</v>
      </c>
      <c r="D27" s="117" t="str">
        <f t="shared" si="2"/>
        <v>Advanced Rooftop Controller-Retro-Assembly</v>
      </c>
      <c r="E27" s="122" t="s">
        <v>46</v>
      </c>
      <c r="F27" s="118" t="s">
        <v>179</v>
      </c>
      <c r="G27" s="119">
        <f>1/VLOOKUP(C27,[1]TURN!$B$10:$V$91,L27,FALSE)</f>
        <v>15</v>
      </c>
      <c r="H27" s="231">
        <f>VLOOKUP(E27,'Market Data'!$J$54:$K$71,2,FALSE)</f>
        <v>0.70549381285231594</v>
      </c>
      <c r="I27" s="231">
        <f>VLOOKUP($E27,'Market Data'!$J$54:$L$71,3,FALSE)</f>
        <v>0.1798317315436718</v>
      </c>
      <c r="J27" s="121" t="s">
        <v>452</v>
      </c>
      <c r="K27" s="232">
        <f t="shared" si="3"/>
        <v>0.77184416415983825</v>
      </c>
      <c r="L27" s="121">
        <f>MATCH(E27,[1]!BLDGTYPE,0)</f>
        <v>18</v>
      </c>
      <c r="M27" s="120">
        <f t="shared" si="4"/>
        <v>1</v>
      </c>
      <c r="N27" s="120">
        <f t="shared" si="5"/>
        <v>0.11013494038183547</v>
      </c>
    </row>
    <row r="28" spans="1:14" s="26" customFormat="1">
      <c r="A28" s="117" t="str">
        <f t="shared" si="0"/>
        <v>Advanced Rooftop Controller-Retro-Other</v>
      </c>
      <c r="B28" s="118" t="s">
        <v>332</v>
      </c>
      <c r="C28" s="117" t="str">
        <f t="shared" si="1"/>
        <v>Advanced Rooftop Controller-Retro</v>
      </c>
      <c r="D28" s="117" t="str">
        <f t="shared" si="2"/>
        <v>Advanced Rooftop Controller-Retro-Other</v>
      </c>
      <c r="E28" s="122" t="s">
        <v>55</v>
      </c>
      <c r="F28" s="118" t="s">
        <v>179</v>
      </c>
      <c r="G28" s="119">
        <f>1/VLOOKUP(C28,[1]TURN!$B$10:$V$91,L28,FALSE)</f>
        <v>15</v>
      </c>
      <c r="H28" s="231">
        <f>VLOOKUP(E28,'Market Data'!$J$54:$K$71,2,FALSE)</f>
        <v>0.14122456218221954</v>
      </c>
      <c r="I28" s="231">
        <f>VLOOKUP($E28,'Market Data'!$J$54:$L$71,3,FALSE)</f>
        <v>6.6713799252344441E-2</v>
      </c>
      <c r="J28" s="121" t="s">
        <v>452</v>
      </c>
      <c r="K28" s="232">
        <f t="shared" si="3"/>
        <v>0.71310077098671132</v>
      </c>
      <c r="L28" s="121">
        <f>MATCH(E28,[1]!BLDGTYPE,0)</f>
        <v>19</v>
      </c>
      <c r="M28" s="120">
        <f t="shared" si="4"/>
        <v>1</v>
      </c>
      <c r="N28" s="120">
        <f t="shared" si="5"/>
        <v>9.9554262623279946E-2</v>
      </c>
    </row>
    <row r="29" spans="1:14" s="26" customFormat="1">
      <c r="A29" s="117" t="str">
        <f t="shared" si="0"/>
        <v>Advanced Rooftop Controller-New-Large Off</v>
      </c>
      <c r="B29" s="118" t="s">
        <v>332</v>
      </c>
      <c r="C29" s="117" t="str">
        <f t="shared" si="1"/>
        <v>Advanced Rooftop Controller-New</v>
      </c>
      <c r="D29" s="117" t="str">
        <f t="shared" si="2"/>
        <v>Advanced Rooftop Controller-New-Large Off</v>
      </c>
      <c r="E29" s="122" t="s">
        <v>293</v>
      </c>
      <c r="F29" s="118" t="s">
        <v>331</v>
      </c>
      <c r="G29" s="119">
        <f>1/VLOOKUP(C29,[1]TURN!$B$10:$V$91,L29,FALSE)</f>
        <v>15</v>
      </c>
      <c r="H29" s="231">
        <f>VLOOKUP(E29,'Market Data'!$J$54:$K$71,2,FALSE)</f>
        <v>0.11506921726474252</v>
      </c>
      <c r="I29" s="231">
        <f>VLOOKUP($E29,'Market Data'!$J$54:$L$71,3,FALSE)</f>
        <v>8.6958816167838432E-2</v>
      </c>
      <c r="J29" s="121" t="s">
        <v>453</v>
      </c>
      <c r="K29" s="232">
        <f t="shared" ref="K29:K46" si="6">VLOOKUP(K$9,V_POST2013,L29,FALSE)</f>
        <v>0.95128694884061893</v>
      </c>
      <c r="L29" s="121">
        <f>MATCH(E29,[1]!BLDGTYPE,0)</f>
        <v>2</v>
      </c>
      <c r="M29" s="120">
        <f t="shared" ref="M29:M46" si="7">VLOOKUP($M$9,V_POST2013,$L29,FALSE)</f>
        <v>0.49844828664156315</v>
      </c>
      <c r="N29" s="120">
        <f t="shared" ref="N29:N46" si="8">VLOOKUP($N$9,V_POST2013,$L29,FALSE)</f>
        <v>0.15073291148870363</v>
      </c>
    </row>
    <row r="30" spans="1:14" s="26" customFormat="1">
      <c r="A30" s="117" t="str">
        <f t="shared" si="0"/>
        <v>Advanced Rooftop Controller-New-Medium Off</v>
      </c>
      <c r="B30" s="118" t="s">
        <v>332</v>
      </c>
      <c r="C30" s="117" t="str">
        <f t="shared" si="1"/>
        <v>Advanced Rooftop Controller-New</v>
      </c>
      <c r="D30" s="117" t="str">
        <f t="shared" si="2"/>
        <v>Advanced Rooftop Controller-New-Medium Off</v>
      </c>
      <c r="E30" s="122" t="s">
        <v>294</v>
      </c>
      <c r="F30" s="118" t="s">
        <v>331</v>
      </c>
      <c r="G30" s="119">
        <f>1/VLOOKUP(C30,[1]TURN!$B$10:$V$91,L30,FALSE)</f>
        <v>15</v>
      </c>
      <c r="H30" s="231">
        <f>VLOOKUP(E30,'Market Data'!$J$54:$K$71,2,FALSE)</f>
        <v>0.38623376009711341</v>
      </c>
      <c r="I30" s="231">
        <f>VLOOKUP($E30,'Market Data'!$J$54:$L$71,3,FALSE)</f>
        <v>0.31606351396005627</v>
      </c>
      <c r="J30" s="121" t="s">
        <v>453</v>
      </c>
      <c r="K30" s="232">
        <f t="shared" si="6"/>
        <v>0.97665874571205136</v>
      </c>
      <c r="L30" s="121">
        <f>MATCH(E30,[1]!BLDGTYPE,0)</f>
        <v>3</v>
      </c>
      <c r="M30" s="120">
        <f t="shared" si="7"/>
        <v>0.39725857197361958</v>
      </c>
      <c r="N30" s="120">
        <f t="shared" si="8"/>
        <v>0.12013270538231059</v>
      </c>
    </row>
    <row r="31" spans="1:14" s="26" customFormat="1">
      <c r="A31" s="117" t="str">
        <f t="shared" si="0"/>
        <v>Advanced Rooftop Controller-New-Small Off</v>
      </c>
      <c r="B31" s="118" t="s">
        <v>332</v>
      </c>
      <c r="C31" s="117" t="str">
        <f t="shared" si="1"/>
        <v>Advanced Rooftop Controller-New</v>
      </c>
      <c r="D31" s="117" t="str">
        <f t="shared" si="2"/>
        <v>Advanced Rooftop Controller-New-Small Off</v>
      </c>
      <c r="E31" s="122" t="s">
        <v>295</v>
      </c>
      <c r="F31" s="118" t="s">
        <v>331</v>
      </c>
      <c r="G31" s="119">
        <f>1/VLOOKUP(C31,[1]TURN!$B$10:$V$91,L31,FALSE)</f>
        <v>15</v>
      </c>
      <c r="H31" s="231">
        <f>VLOOKUP(E31,'Market Data'!$J$54:$K$71,2,FALSE)</f>
        <v>0.26506590770984895</v>
      </c>
      <c r="I31" s="231">
        <f>VLOOKUP($E31,'Market Data'!$J$54:$L$71,3,FALSE)</f>
        <v>0.19999195139965231</v>
      </c>
      <c r="J31" s="121" t="s">
        <v>453</v>
      </c>
      <c r="K31" s="232">
        <f t="shared" si="6"/>
        <v>0.91122609210258287</v>
      </c>
      <c r="L31" s="121">
        <f>MATCH(E31,[1]!BLDGTYPE,0)</f>
        <v>4</v>
      </c>
      <c r="M31" s="120">
        <f t="shared" si="7"/>
        <v>0.10429314138481716</v>
      </c>
      <c r="N31" s="120">
        <f t="shared" si="8"/>
        <v>3.1538695729415013E-2</v>
      </c>
    </row>
    <row r="32" spans="1:14" s="26" customFormat="1">
      <c r="A32" s="117" t="str">
        <f t="shared" si="0"/>
        <v>Advanced Rooftop Controller-New-Xlarge Ret</v>
      </c>
      <c r="B32" s="118" t="s">
        <v>332</v>
      </c>
      <c r="C32" s="117" t="str">
        <f t="shared" si="1"/>
        <v>Advanced Rooftop Controller-New</v>
      </c>
      <c r="D32" s="117" t="str">
        <f t="shared" si="2"/>
        <v>Advanced Rooftop Controller-New-Xlarge Ret</v>
      </c>
      <c r="E32" s="122" t="s">
        <v>351</v>
      </c>
      <c r="F32" s="118" t="s">
        <v>331</v>
      </c>
      <c r="G32" s="119">
        <f>1/VLOOKUP(C32,[1]TURN!$B$10:$V$91,L32,FALSE)</f>
        <v>15</v>
      </c>
      <c r="H32" s="231">
        <f>VLOOKUP(E32,'Market Data'!$J$54:$K$71,2,FALSE)</f>
        <v>0.93646687385369998</v>
      </c>
      <c r="I32" s="231">
        <f>VLOOKUP($E32,'Market Data'!$J$54:$L$71,3,FALSE)</f>
        <v>0.1811789556978993</v>
      </c>
      <c r="J32" s="121" t="s">
        <v>453</v>
      </c>
      <c r="K32" s="232">
        <f t="shared" si="6"/>
        <v>0.98608503921852686</v>
      </c>
      <c r="L32" s="121">
        <f>MATCH(E32,[1]!BLDGTYPE,0)</f>
        <v>5</v>
      </c>
      <c r="M32" s="120">
        <f t="shared" si="7"/>
        <v>0.29289805028089561</v>
      </c>
      <c r="N32" s="120">
        <f t="shared" si="8"/>
        <v>2.6820893655991742E-2</v>
      </c>
    </row>
    <row r="33" spans="1:14" s="26" customFormat="1">
      <c r="A33" s="117" t="str">
        <f t="shared" si="0"/>
        <v>Advanced Rooftop Controller-New-Large Ret</v>
      </c>
      <c r="B33" s="118" t="s">
        <v>332</v>
      </c>
      <c r="C33" s="117" t="str">
        <f t="shared" si="1"/>
        <v>Advanced Rooftop Controller-New</v>
      </c>
      <c r="D33" s="117" t="str">
        <f t="shared" si="2"/>
        <v>Advanced Rooftop Controller-New-Large Ret</v>
      </c>
      <c r="E33" s="122" t="s">
        <v>309</v>
      </c>
      <c r="F33" s="118" t="s">
        <v>331</v>
      </c>
      <c r="G33" s="119">
        <f>1/VLOOKUP(C33,[1]TURN!$B$10:$V$91,L33,FALSE)</f>
        <v>15</v>
      </c>
      <c r="H33" s="231">
        <f>VLOOKUP(E33,'Market Data'!$J$54:$K$71,2,FALSE)</f>
        <v>1.1497311538054293</v>
      </c>
      <c r="I33" s="231">
        <f>VLOOKUP($E33,'Market Data'!$J$54:$L$71,3,FALSE)</f>
        <v>0.18359410174555876</v>
      </c>
      <c r="J33" s="121" t="s">
        <v>453</v>
      </c>
      <c r="K33" s="232">
        <f t="shared" si="6"/>
        <v>0.77181511362305244</v>
      </c>
      <c r="L33" s="121">
        <f>MATCH(E33,[1]!BLDGTYPE,0)</f>
        <v>6</v>
      </c>
      <c r="M33" s="120">
        <f t="shared" si="7"/>
        <v>0.11837446567671327</v>
      </c>
      <c r="N33" s="120">
        <f t="shared" si="8"/>
        <v>1.0839638408159987E-2</v>
      </c>
    </row>
    <row r="34" spans="1:14" s="26" customFormat="1">
      <c r="A34" s="117" t="str">
        <f t="shared" si="0"/>
        <v>Advanced Rooftop Controller-New-Medium Ret</v>
      </c>
      <c r="B34" s="118" t="s">
        <v>332</v>
      </c>
      <c r="C34" s="117" t="str">
        <f t="shared" si="1"/>
        <v>Advanced Rooftop Controller-New</v>
      </c>
      <c r="D34" s="117" t="str">
        <f t="shared" si="2"/>
        <v>Advanced Rooftop Controller-New-Medium Ret</v>
      </c>
      <c r="E34" s="122" t="s">
        <v>308</v>
      </c>
      <c r="F34" s="118" t="s">
        <v>331</v>
      </c>
      <c r="G34" s="119">
        <f>1/VLOOKUP(C34,[1]TURN!$B$10:$V$91,L34,FALSE)</f>
        <v>15</v>
      </c>
      <c r="H34" s="231">
        <f>VLOOKUP(E34,'Market Data'!$J$54:$K$71,2,FALSE)</f>
        <v>0.39486164846664223</v>
      </c>
      <c r="I34" s="231">
        <f>VLOOKUP($E34,'Market Data'!$J$54:$L$71,3,FALSE)</f>
        <v>0.11606750141743268</v>
      </c>
      <c r="J34" s="121" t="s">
        <v>453</v>
      </c>
      <c r="K34" s="232">
        <f t="shared" si="6"/>
        <v>0.90527535536267667</v>
      </c>
      <c r="L34" s="121">
        <f>MATCH(E34,[1]!BLDGTYPE,0)</f>
        <v>7</v>
      </c>
      <c r="M34" s="120">
        <f t="shared" si="7"/>
        <v>0.44658380004081855</v>
      </c>
      <c r="N34" s="120">
        <f t="shared" si="8"/>
        <v>4.0894012773033235E-2</v>
      </c>
    </row>
    <row r="35" spans="1:14" s="26" customFormat="1">
      <c r="A35" s="117" t="str">
        <f t="shared" si="0"/>
        <v>Advanced Rooftop Controller-New-Small Ret</v>
      </c>
      <c r="B35" s="118" t="s">
        <v>332</v>
      </c>
      <c r="C35" s="117" t="str">
        <f t="shared" si="1"/>
        <v>Advanced Rooftop Controller-New</v>
      </c>
      <c r="D35" s="117" t="str">
        <f t="shared" si="2"/>
        <v>Advanced Rooftop Controller-New-Small Ret</v>
      </c>
      <c r="E35" s="122" t="s">
        <v>310</v>
      </c>
      <c r="F35" s="118" t="s">
        <v>331</v>
      </c>
      <c r="G35" s="119">
        <f>1/VLOOKUP(C35,[1]TURN!$B$10:$V$91,L35,FALSE)</f>
        <v>15</v>
      </c>
      <c r="H35" s="231">
        <f>VLOOKUP(E35,'Market Data'!$J$54:$K$71,2,FALSE)</f>
        <v>2.6514568417845316E-2</v>
      </c>
      <c r="I35" s="231">
        <f>VLOOKUP($E35,'Market Data'!$J$54:$L$71,3,FALSE)</f>
        <v>2.1088272602037467E-2</v>
      </c>
      <c r="J35" s="121" t="s">
        <v>453</v>
      </c>
      <c r="K35" s="232">
        <f t="shared" si="6"/>
        <v>0.53668215741883951</v>
      </c>
      <c r="L35" s="121">
        <f>MATCH(E35,[1]!BLDGTYPE,0)</f>
        <v>8</v>
      </c>
      <c r="M35" s="120">
        <f t="shared" si="7"/>
        <v>0.14214368400157257</v>
      </c>
      <c r="N35" s="120">
        <f t="shared" si="8"/>
        <v>1.3016203517984767E-2</v>
      </c>
    </row>
    <row r="36" spans="1:14" s="26" customFormat="1">
      <c r="A36" s="117" t="str">
        <f t="shared" si="0"/>
        <v>Advanced Rooftop Controller-New-School K-12</v>
      </c>
      <c r="B36" s="118" t="s">
        <v>332</v>
      </c>
      <c r="C36" s="117" t="str">
        <f t="shared" si="1"/>
        <v>Advanced Rooftop Controller-New</v>
      </c>
      <c r="D36" s="117" t="str">
        <f t="shared" si="2"/>
        <v>Advanced Rooftop Controller-New-School K-12</v>
      </c>
      <c r="E36" s="122" t="s">
        <v>314</v>
      </c>
      <c r="F36" s="118" t="s">
        <v>331</v>
      </c>
      <c r="G36" s="119">
        <f>1/VLOOKUP(C36,[1]TURN!$B$10:$V$91,L36,FALSE)</f>
        <v>15</v>
      </c>
      <c r="H36" s="231">
        <f>VLOOKUP(E36,'Market Data'!$J$54:$K$71,2,FALSE)</f>
        <v>0.10611853117726823</v>
      </c>
      <c r="I36" s="231">
        <f>VLOOKUP($E36,'Market Data'!$J$54:$L$71,3,FALSE)</f>
        <v>9.4553141516109079E-2</v>
      </c>
      <c r="J36" s="121" t="s">
        <v>453</v>
      </c>
      <c r="K36" s="232">
        <f t="shared" si="6"/>
        <v>0.96128535178408803</v>
      </c>
      <c r="L36" s="121">
        <f>MATCH(E36,[1]!BLDGTYPE,0)</f>
        <v>9</v>
      </c>
      <c r="M36" s="120">
        <f t="shared" si="7"/>
        <v>0.58044164275770982</v>
      </c>
      <c r="N36" s="120">
        <f t="shared" si="8"/>
        <v>3.0886857559635036E-2</v>
      </c>
    </row>
    <row r="37" spans="1:14" s="26" customFormat="1">
      <c r="A37" s="117" t="str">
        <f t="shared" si="0"/>
        <v>Advanced Rooftop Controller-New-University</v>
      </c>
      <c r="B37" s="118" t="s">
        <v>332</v>
      </c>
      <c r="C37" s="117" t="str">
        <f t="shared" si="1"/>
        <v>Advanced Rooftop Controller-New</v>
      </c>
      <c r="D37" s="117" t="str">
        <f t="shared" si="2"/>
        <v>Advanced Rooftop Controller-New-University</v>
      </c>
      <c r="E37" s="122" t="s">
        <v>297</v>
      </c>
      <c r="F37" s="118" t="s">
        <v>331</v>
      </c>
      <c r="G37" s="119">
        <f>1/VLOOKUP(C37,[1]TURN!$B$10:$V$91,L37,FALSE)</f>
        <v>15</v>
      </c>
      <c r="H37" s="231">
        <f>VLOOKUP(E37,'Market Data'!$J$54:$K$71,2,FALSE)</f>
        <v>0.10611853117726823</v>
      </c>
      <c r="I37" s="231">
        <f>VLOOKUP($E37,'Market Data'!$J$54:$L$71,3,FALSE)</f>
        <v>9.4553141516109079E-2</v>
      </c>
      <c r="J37" s="121" t="s">
        <v>453</v>
      </c>
      <c r="K37" s="232">
        <f t="shared" si="6"/>
        <v>0.75</v>
      </c>
      <c r="L37" s="121">
        <f>MATCH(E37,[1]!BLDGTYPE,0)</f>
        <v>10</v>
      </c>
      <c r="M37" s="120">
        <f t="shared" si="7"/>
        <v>0.41955835724229024</v>
      </c>
      <c r="N37" s="120">
        <f t="shared" si="8"/>
        <v>2.2325826170102026E-2</v>
      </c>
    </row>
    <row r="38" spans="1:14" s="26" customFormat="1">
      <c r="A38" s="117" t="str">
        <f t="shared" si="0"/>
        <v>Advanced Rooftop Controller-New-Warehouse</v>
      </c>
      <c r="B38" s="118" t="s">
        <v>332</v>
      </c>
      <c r="C38" s="117" t="str">
        <f t="shared" si="1"/>
        <v>Advanced Rooftop Controller-New</v>
      </c>
      <c r="D38" s="117" t="str">
        <f t="shared" si="2"/>
        <v>Advanced Rooftop Controller-New-Warehouse</v>
      </c>
      <c r="E38" s="122" t="s">
        <v>54</v>
      </c>
      <c r="F38" s="118" t="s">
        <v>331</v>
      </c>
      <c r="G38" s="119">
        <f>1/VLOOKUP(C38,[1]TURN!$B$10:$V$91,L38,FALSE)</f>
        <v>15</v>
      </c>
      <c r="H38" s="231">
        <f>VLOOKUP(E38,'Market Data'!$J$54:$K$71,2,FALSE)</f>
        <v>4.6477344354489553E-2</v>
      </c>
      <c r="I38" s="231">
        <f>VLOOKUP($E38,'Market Data'!$J$54:$L$71,3,FALSE)</f>
        <v>3.7784319235833738E-2</v>
      </c>
      <c r="J38" s="121" t="s">
        <v>453</v>
      </c>
      <c r="K38" s="232">
        <f t="shared" si="6"/>
        <v>0.18162271351024481</v>
      </c>
      <c r="L38" s="121">
        <f>MATCH(E38,[1]!BLDGTYPE,0)</f>
        <v>11</v>
      </c>
      <c r="M38" s="120">
        <f t="shared" si="7"/>
        <v>1</v>
      </c>
      <c r="N38" s="120">
        <f t="shared" si="8"/>
        <v>0.10087192274660353</v>
      </c>
    </row>
    <row r="39" spans="1:14" s="26" customFormat="1">
      <c r="A39" s="117" t="str">
        <f t="shared" si="0"/>
        <v>Advanced Rooftop Controller-New-Supermarket</v>
      </c>
      <c r="B39" s="118" t="s">
        <v>332</v>
      </c>
      <c r="C39" s="117" t="str">
        <f t="shared" si="1"/>
        <v>Advanced Rooftop Controller-New</v>
      </c>
      <c r="D39" s="117" t="str">
        <f t="shared" si="2"/>
        <v>Advanced Rooftop Controller-New-Supermarket</v>
      </c>
      <c r="E39" s="122" t="s">
        <v>300</v>
      </c>
      <c r="F39" s="118" t="s">
        <v>331</v>
      </c>
      <c r="G39" s="119">
        <f>1/VLOOKUP(C39,[1]TURN!$B$10:$V$91,L39,FALSE)</f>
        <v>15</v>
      </c>
      <c r="H39" s="231">
        <f>VLOOKUP(E39,'Market Data'!$J$54:$K$71,2,FALSE)</f>
        <v>0.91933584896114628</v>
      </c>
      <c r="I39" s="231">
        <f>VLOOKUP($E39,'Market Data'!$J$54:$L$71,3,FALSE)</f>
        <v>0.29228310942328339</v>
      </c>
      <c r="J39" s="121" t="s">
        <v>453</v>
      </c>
      <c r="K39" s="232">
        <f t="shared" si="6"/>
        <v>0.92147944946531313</v>
      </c>
      <c r="L39" s="121">
        <f>MATCH(E39,[1]!BLDGTYPE,0)</f>
        <v>12</v>
      </c>
      <c r="M39" s="120">
        <f t="shared" si="7"/>
        <v>0.70766579331774959</v>
      </c>
      <c r="N39" s="120">
        <f t="shared" si="8"/>
        <v>6.1675003194375045E-3</v>
      </c>
    </row>
    <row r="40" spans="1:14" s="26" customFormat="1">
      <c r="A40" s="117" t="str">
        <f t="shared" si="0"/>
        <v>Advanced Rooftop Controller-New-MiniMart</v>
      </c>
      <c r="B40" s="118" t="s">
        <v>332</v>
      </c>
      <c r="C40" s="117" t="str">
        <f t="shared" si="1"/>
        <v>Advanced Rooftop Controller-New</v>
      </c>
      <c r="D40" s="117" t="str">
        <f t="shared" si="2"/>
        <v>Advanced Rooftop Controller-New-MiniMart</v>
      </c>
      <c r="E40" s="122" t="s">
        <v>350</v>
      </c>
      <c r="F40" s="118" t="s">
        <v>331</v>
      </c>
      <c r="G40" s="119">
        <f>1/VLOOKUP(C40,[1]TURN!$B$10:$V$91,L40,FALSE)</f>
        <v>15</v>
      </c>
      <c r="H40" s="231">
        <f>VLOOKUP(E40,'Market Data'!$J$54:$K$71,2,FALSE)</f>
        <v>0.91933584896114628</v>
      </c>
      <c r="I40" s="231">
        <f>VLOOKUP($E40,'Market Data'!$J$54:$L$71,3,FALSE)</f>
        <v>0.29228310942328339</v>
      </c>
      <c r="J40" s="121" t="s">
        <v>453</v>
      </c>
      <c r="K40" s="232">
        <f t="shared" si="6"/>
        <v>0.83868998628257874</v>
      </c>
      <c r="L40" s="121">
        <f>MATCH(E40,[1]!BLDGTYPE,0)</f>
        <v>13</v>
      </c>
      <c r="M40" s="120">
        <f t="shared" si="7"/>
        <v>0.29233420668225041</v>
      </c>
      <c r="N40" s="120">
        <f t="shared" si="8"/>
        <v>2.5477723102065148E-3</v>
      </c>
    </row>
    <row r="41" spans="1:14" s="26" customFormat="1">
      <c r="A41" s="117" t="str">
        <f t="shared" si="0"/>
        <v>Advanced Rooftop Controller-New-Restaurant</v>
      </c>
      <c r="B41" s="118" t="s">
        <v>332</v>
      </c>
      <c r="C41" s="117" t="str">
        <f t="shared" si="1"/>
        <v>Advanced Rooftop Controller-New</v>
      </c>
      <c r="D41" s="117" t="str">
        <f t="shared" si="2"/>
        <v>Advanced Rooftop Controller-New-Restaurant</v>
      </c>
      <c r="E41" s="122" t="s">
        <v>302</v>
      </c>
      <c r="F41" s="118" t="s">
        <v>331</v>
      </c>
      <c r="G41" s="119">
        <f>1/VLOOKUP(C41,[1]TURN!$B$10:$V$91,L41,FALSE)</f>
        <v>15</v>
      </c>
      <c r="H41" s="231">
        <f>VLOOKUP(E41,'Market Data'!$J$54:$K$71,2,FALSE)</f>
        <v>2.0063752897795508</v>
      </c>
      <c r="I41" s="231">
        <f>VLOOKUP($E41,'Market Data'!$J$54:$L$71,3,FALSE)</f>
        <v>0.73229385146975234</v>
      </c>
      <c r="J41" s="121" t="s">
        <v>453</v>
      </c>
      <c r="K41" s="232">
        <f t="shared" si="6"/>
        <v>0.99999997512427186</v>
      </c>
      <c r="L41" s="121">
        <f>MATCH(E41,[1]!BLDGTYPE,0)</f>
        <v>14</v>
      </c>
      <c r="M41" s="120">
        <f t="shared" si="7"/>
        <v>1</v>
      </c>
      <c r="N41" s="120">
        <f t="shared" si="8"/>
        <v>1.1693580853842011E-2</v>
      </c>
    </row>
    <row r="42" spans="1:14" s="26" customFormat="1">
      <c r="A42" s="117" t="str">
        <f t="shared" si="0"/>
        <v>Advanced Rooftop Controller-New-Lodging</v>
      </c>
      <c r="B42" s="118" t="s">
        <v>332</v>
      </c>
      <c r="C42" s="117" t="str">
        <f t="shared" si="1"/>
        <v>Advanced Rooftop Controller-New</v>
      </c>
      <c r="D42" s="117" t="str">
        <f t="shared" si="2"/>
        <v>Advanced Rooftop Controller-New-Lodging</v>
      </c>
      <c r="E42" s="122" t="s">
        <v>49</v>
      </c>
      <c r="F42" s="118" t="s">
        <v>331</v>
      </c>
      <c r="G42" s="119">
        <f>1/VLOOKUP(C42,[1]TURN!$B$10:$V$91,L42,FALSE)</f>
        <v>15</v>
      </c>
      <c r="H42" s="231">
        <f>VLOOKUP(E42,'Market Data'!$J$54:$K$71,2,FALSE)</f>
        <v>0.11384121765439638</v>
      </c>
      <c r="I42" s="231">
        <f>VLOOKUP($E42,'Market Data'!$J$54:$L$71,3,FALSE)</f>
        <v>6.186975639218098E-2</v>
      </c>
      <c r="J42" s="121" t="s">
        <v>453</v>
      </c>
      <c r="K42" s="232">
        <f t="shared" si="6"/>
        <v>0.94438859080377269</v>
      </c>
      <c r="L42" s="121">
        <f>MATCH(E42,[1]!BLDGTYPE,0)</f>
        <v>15</v>
      </c>
      <c r="M42" s="120">
        <f t="shared" si="7"/>
        <v>1</v>
      </c>
      <c r="N42" s="120">
        <f t="shared" si="8"/>
        <v>2.3957473342185561E-2</v>
      </c>
    </row>
    <row r="43" spans="1:14" s="26" customFormat="1">
      <c r="A43" s="117" t="str">
        <f t="shared" si="0"/>
        <v>Advanced Rooftop Controller-New-Hospital</v>
      </c>
      <c r="B43" s="118" t="s">
        <v>332</v>
      </c>
      <c r="C43" s="117" t="str">
        <f t="shared" si="1"/>
        <v>Advanced Rooftop Controller-New</v>
      </c>
      <c r="D43" s="117" t="str">
        <f t="shared" si="2"/>
        <v>Advanced Rooftop Controller-New-Hospital</v>
      </c>
      <c r="E43" s="122" t="s">
        <v>304</v>
      </c>
      <c r="F43" s="118" t="s">
        <v>331</v>
      </c>
      <c r="G43" s="119">
        <f>1/VLOOKUP(C43,[1]TURN!$B$10:$V$91,L43,FALSE)</f>
        <v>15</v>
      </c>
      <c r="H43" s="231">
        <f>VLOOKUP(E43,'Market Data'!$J$54:$K$71,2,FALSE)</f>
        <v>0.11384121765439638</v>
      </c>
      <c r="I43" s="231">
        <f>VLOOKUP($E43,'Market Data'!$J$54:$L$71,3,FALSE)</f>
        <v>6.186975639218098E-2</v>
      </c>
      <c r="J43" s="121" t="s">
        <v>453</v>
      </c>
      <c r="K43" s="232">
        <f t="shared" si="6"/>
        <v>0.95</v>
      </c>
      <c r="L43" s="121">
        <f>MATCH(E43,[1]!BLDGTYPE,0)</f>
        <v>16</v>
      </c>
      <c r="M43" s="120">
        <f t="shared" si="7"/>
        <v>1</v>
      </c>
      <c r="N43" s="120">
        <f t="shared" si="8"/>
        <v>4.4965056377242296E-2</v>
      </c>
    </row>
    <row r="44" spans="1:14" s="26" customFormat="1">
      <c r="A44" s="117" t="str">
        <f t="shared" si="0"/>
        <v>Advanced Rooftop Controller-New-Residential Care</v>
      </c>
      <c r="B44" s="118" t="s">
        <v>332</v>
      </c>
      <c r="C44" s="117" t="str">
        <f t="shared" si="1"/>
        <v>Advanced Rooftop Controller-New</v>
      </c>
      <c r="D44" s="117" t="str">
        <f t="shared" si="2"/>
        <v>Advanced Rooftop Controller-New-Residential Care</v>
      </c>
      <c r="E44" s="122" t="s">
        <v>51</v>
      </c>
      <c r="F44" s="118" t="s">
        <v>331</v>
      </c>
      <c r="G44" s="119">
        <f>1/VLOOKUP(C44,[1]TURN!$B$10:$V$91,L44,FALSE)</f>
        <v>15</v>
      </c>
      <c r="H44" s="231">
        <f>VLOOKUP(E44,'Market Data'!$J$54:$K$71,2,FALSE)</f>
        <v>0.70584176954140854</v>
      </c>
      <c r="I44" s="231">
        <f>VLOOKUP($E44,'Market Data'!$J$54:$L$71,3,FALSE)</f>
        <v>0.21500550974150753</v>
      </c>
      <c r="J44" s="121" t="s">
        <v>453</v>
      </c>
      <c r="K44" s="232">
        <f t="shared" si="6"/>
        <v>0.8423386600487599</v>
      </c>
      <c r="L44" s="121">
        <f>MATCH(E44,[1]!BLDGTYPE,0)</f>
        <v>17</v>
      </c>
      <c r="M44" s="120">
        <f t="shared" si="7"/>
        <v>1</v>
      </c>
      <c r="N44" s="120">
        <f t="shared" si="8"/>
        <v>5.827742495837801E-2</v>
      </c>
    </row>
    <row r="45" spans="1:14" s="26" customFormat="1">
      <c r="A45" s="117" t="str">
        <f t="shared" si="0"/>
        <v>Advanced Rooftop Controller-New-Assembly</v>
      </c>
      <c r="B45" s="118" t="s">
        <v>332</v>
      </c>
      <c r="C45" s="117" t="str">
        <f t="shared" si="1"/>
        <v>Advanced Rooftop Controller-New</v>
      </c>
      <c r="D45" s="117" t="str">
        <f t="shared" si="2"/>
        <v>Advanced Rooftop Controller-New-Assembly</v>
      </c>
      <c r="E45" s="122" t="s">
        <v>46</v>
      </c>
      <c r="F45" s="118" t="s">
        <v>331</v>
      </c>
      <c r="G45" s="119">
        <f>1/VLOOKUP(C45,[1]TURN!$B$10:$V$91,L45,FALSE)</f>
        <v>15</v>
      </c>
      <c r="H45" s="231">
        <f>VLOOKUP(E45,'Market Data'!$J$54:$K$71,2,FALSE)</f>
        <v>0.70549381285231594</v>
      </c>
      <c r="I45" s="231">
        <f>VLOOKUP($E45,'Market Data'!$J$54:$L$71,3,FALSE)</f>
        <v>0.1798317315436718</v>
      </c>
      <c r="J45" s="121" t="s">
        <v>453</v>
      </c>
      <c r="K45" s="232">
        <f t="shared" si="6"/>
        <v>0.91177234717447209</v>
      </c>
      <c r="L45" s="121">
        <f>MATCH(E45,[1]!BLDGTYPE,0)</f>
        <v>18</v>
      </c>
      <c r="M45" s="120">
        <f t="shared" si="7"/>
        <v>1</v>
      </c>
      <c r="N45" s="120">
        <f t="shared" si="8"/>
        <v>9.0984350406775827E-2</v>
      </c>
    </row>
    <row r="46" spans="1:14" s="26" customFormat="1">
      <c r="A46" s="117" t="str">
        <f t="shared" si="0"/>
        <v>Advanced Rooftop Controller-New-Other</v>
      </c>
      <c r="B46" s="118" t="s">
        <v>332</v>
      </c>
      <c r="C46" s="117" t="str">
        <f t="shared" si="1"/>
        <v>Advanced Rooftop Controller-New</v>
      </c>
      <c r="D46" s="117" t="str">
        <f t="shared" si="2"/>
        <v>Advanced Rooftop Controller-New-Other</v>
      </c>
      <c r="E46" s="122" t="s">
        <v>55</v>
      </c>
      <c r="F46" s="118" t="s">
        <v>331</v>
      </c>
      <c r="G46" s="119">
        <f>1/VLOOKUP(C46,[1]TURN!$B$10:$V$91,L46,FALSE)</f>
        <v>15</v>
      </c>
      <c r="H46" s="231">
        <f>VLOOKUP(E46,'Market Data'!$J$54:$K$71,2,FALSE)</f>
        <v>0.14122456218221954</v>
      </c>
      <c r="I46" s="231">
        <f>VLOOKUP($E46,'Market Data'!$J$54:$L$71,3,FALSE)</f>
        <v>6.6713799252344441E-2</v>
      </c>
      <c r="J46" s="121" t="s">
        <v>453</v>
      </c>
      <c r="K46" s="232">
        <f t="shared" si="6"/>
        <v>0.87717751610580841</v>
      </c>
      <c r="L46" s="121">
        <f>MATCH(E46,[1]!BLDGTYPE,0)</f>
        <v>19</v>
      </c>
      <c r="M46" s="120">
        <f t="shared" si="7"/>
        <v>1</v>
      </c>
      <c r="N46" s="120">
        <f t="shared" si="8"/>
        <v>0.21334717399999265</v>
      </c>
    </row>
    <row r="47" spans="1:14">
      <c r="G47" s="119"/>
    </row>
    <row r="48" spans="1:14">
      <c r="G48" s="119"/>
    </row>
    <row r="49" spans="7:7">
      <c r="G49" s="119"/>
    </row>
    <row r="50" spans="7:7">
      <c r="G50" s="119"/>
    </row>
    <row r="51" spans="7:7">
      <c r="G51" s="119"/>
    </row>
    <row r="52" spans="7:7">
      <c r="G52" s="119"/>
    </row>
    <row r="53" spans="7:7">
      <c r="G53" s="119"/>
    </row>
    <row r="54" spans="7:7">
      <c r="G54" s="119"/>
    </row>
    <row r="55" spans="7:7">
      <c r="G55" s="1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6"/>
  <dimension ref="A2:M46"/>
  <sheetViews>
    <sheetView topLeftCell="A13" workbookViewId="0">
      <selection activeCell="D2" sqref="D2"/>
    </sheetView>
  </sheetViews>
  <sheetFormatPr defaultRowHeight="12.75"/>
  <cols>
    <col min="2" max="2" width="14.5703125" customWidth="1"/>
    <col min="3" max="3" width="31.5703125" customWidth="1"/>
    <col min="4" max="4" width="16.5703125" bestFit="1" customWidth="1"/>
    <col min="5" max="5" width="17" customWidth="1"/>
    <col min="6" max="6" width="14.42578125" customWidth="1"/>
    <col min="7" max="7" width="16.5703125" bestFit="1" customWidth="1"/>
    <col min="8" max="8" width="24" customWidth="1"/>
    <col min="9" max="9" width="15.42578125" customWidth="1"/>
    <col min="10" max="10" width="15.5703125" customWidth="1"/>
    <col min="12" max="12" width="9.28515625" bestFit="1" customWidth="1"/>
    <col min="13" max="13" width="11.28515625" bestFit="1" customWidth="1"/>
  </cols>
  <sheetData>
    <row r="2" spans="2:11" ht="13.5" thickBot="1">
      <c r="C2" t="s">
        <v>743</v>
      </c>
      <c r="H2" s="295" t="s">
        <v>741</v>
      </c>
    </row>
    <row r="3" spans="2:11">
      <c r="B3" s="412" t="s">
        <v>339</v>
      </c>
      <c r="C3" s="413"/>
      <c r="D3" s="413"/>
      <c r="E3" s="413"/>
      <c r="F3" s="414"/>
      <c r="H3" s="296">
        <v>1</v>
      </c>
      <c r="I3" s="11">
        <v>0.64</v>
      </c>
    </row>
    <row r="4" spans="2:11" ht="13.5" thickBot="1">
      <c r="B4" s="131"/>
      <c r="C4" s="132" t="str">
        <f>'PNNL SVGs Data'!E73</f>
        <v>Average Savings across all sites</v>
      </c>
      <c r="D4" s="132">
        <f>'PNNL SVGs Data'!F73</f>
        <v>515</v>
      </c>
      <c r="E4" s="133" t="str">
        <f>'PNNL SVGs Data'!G73</f>
        <v>Wh/h/hp</v>
      </c>
      <c r="F4" s="134"/>
      <c r="H4" s="297">
        <f>D4*$H$3</f>
        <v>515</v>
      </c>
      <c r="K4" t="s">
        <v>80</v>
      </c>
    </row>
    <row r="5" spans="2:11" ht="13.5" thickBot="1">
      <c r="B5" s="137" t="s">
        <v>166</v>
      </c>
      <c r="C5" s="135"/>
      <c r="D5" s="135"/>
      <c r="E5" s="136"/>
      <c r="F5" s="138"/>
      <c r="H5" s="298"/>
    </row>
    <row r="6" spans="2:11">
      <c r="B6" s="125" t="s">
        <v>169</v>
      </c>
      <c r="C6" s="126" t="str">
        <f>'PNNL SVGs Data'!E74</f>
        <v>Savings for RTU Capacity &lt;10 tons</v>
      </c>
      <c r="D6" s="126">
        <f>'PNNL SVGs Data'!F74</f>
        <v>1</v>
      </c>
      <c r="E6" s="127" t="str">
        <f>'PNNL SVGs Data'!G74</f>
        <v>kWh/h</v>
      </c>
      <c r="F6" s="128" t="str">
        <f>'PNNL SVGs Data'!H74</f>
        <v>Savings</v>
      </c>
      <c r="H6" s="297">
        <f t="shared" ref="H6:H11" si="0">D6*$H$3</f>
        <v>1</v>
      </c>
      <c r="K6" t="s">
        <v>80</v>
      </c>
    </row>
    <row r="7" spans="2:11">
      <c r="B7" s="129" t="s">
        <v>171</v>
      </c>
      <c r="C7" s="123" t="str">
        <f>'PNNL SVGs Data'!E75</f>
        <v>RTU Capacity 10-15 tons</v>
      </c>
      <c r="D7" s="123">
        <f>'PNNL SVGs Data'!F75</f>
        <v>1.8</v>
      </c>
      <c r="E7" s="124" t="str">
        <f>'PNNL SVGs Data'!G75</f>
        <v>kWh/h</v>
      </c>
      <c r="F7" s="130" t="str">
        <f>'PNNL SVGs Data'!H75</f>
        <v>Savings</v>
      </c>
      <c r="H7" s="297">
        <f t="shared" si="0"/>
        <v>1.8</v>
      </c>
    </row>
    <row r="8" spans="2:11" ht="13.5" thickBot="1">
      <c r="B8" s="131" t="s">
        <v>170</v>
      </c>
      <c r="C8" s="132" t="str">
        <f>'PNNL SVGs Data'!E76</f>
        <v>RTU Capacity &gt;15 tons</v>
      </c>
      <c r="D8" s="132">
        <f>'PNNL SVGs Data'!F76</f>
        <v>4.2</v>
      </c>
      <c r="E8" s="133" t="str">
        <f>'PNNL SVGs Data'!G76</f>
        <v>kWh/h</v>
      </c>
      <c r="F8" s="134" t="str">
        <f>'PNNL SVGs Data'!H76</f>
        <v>Savings</v>
      </c>
      <c r="H8" s="297">
        <f t="shared" si="0"/>
        <v>4.2</v>
      </c>
    </row>
    <row r="9" spans="2:11" ht="13.5" thickBot="1">
      <c r="B9" s="137" t="s">
        <v>340</v>
      </c>
      <c r="C9" s="135"/>
      <c r="D9" s="135"/>
      <c r="E9" s="136"/>
      <c r="F9" s="138"/>
      <c r="H9" s="298"/>
    </row>
    <row r="10" spans="2:11">
      <c r="B10" s="125"/>
      <c r="C10" s="126" t="str">
        <f>'PNNL SVGs Data'!E77</f>
        <v>AC Units (gas heat)</v>
      </c>
      <c r="D10" s="126">
        <f>'PNNL SVGs Data'!F77</f>
        <v>2.6</v>
      </c>
      <c r="E10" s="127" t="str">
        <f>'PNNL SVGs Data'!G77</f>
        <v>kWh/h</v>
      </c>
      <c r="F10" s="128" t="str">
        <f>'PNNL SVGs Data'!H77</f>
        <v>Savings</v>
      </c>
      <c r="H10" s="297">
        <f t="shared" si="0"/>
        <v>2.6</v>
      </c>
    </row>
    <row r="11" spans="2:11" ht="13.5" thickBot="1">
      <c r="B11" s="131"/>
      <c r="C11" s="132" t="str">
        <f>'PNNL SVGs Data'!E78</f>
        <v>HP Units</v>
      </c>
      <c r="D11" s="132">
        <f>'PNNL SVGs Data'!F78</f>
        <v>1.75</v>
      </c>
      <c r="E11" s="133" t="str">
        <f>'PNNL SVGs Data'!G78</f>
        <v>kWh/h</v>
      </c>
      <c r="F11" s="134" t="str">
        <f>'PNNL SVGs Data'!H78</f>
        <v>Savings</v>
      </c>
      <c r="H11" s="297">
        <f t="shared" si="0"/>
        <v>1.75</v>
      </c>
    </row>
    <row r="12" spans="2:11">
      <c r="C12" s="8"/>
      <c r="I12" t="s">
        <v>694</v>
      </c>
    </row>
    <row r="13" spans="2:11">
      <c r="C13" s="8"/>
      <c r="D13" s="287">
        <v>58</v>
      </c>
      <c r="E13" s="288" t="s">
        <v>689</v>
      </c>
      <c r="F13" s="288" t="s">
        <v>690</v>
      </c>
      <c r="G13" s="288" t="s">
        <v>691</v>
      </c>
      <c r="H13" s="288" t="s">
        <v>692</v>
      </c>
      <c r="I13" s="290" t="s">
        <v>693</v>
      </c>
      <c r="K13" s="289"/>
    </row>
    <row r="14" spans="2:11">
      <c r="B14" s="195" t="s">
        <v>445</v>
      </c>
      <c r="D14" s="11"/>
    </row>
    <row r="15" spans="2:11">
      <c r="D15" s="11"/>
      <c r="G15" s="5"/>
    </row>
    <row r="16" spans="2:11">
      <c r="B16" s="195" t="s">
        <v>446</v>
      </c>
      <c r="D16" s="11"/>
      <c r="G16" s="5"/>
    </row>
    <row r="18" spans="1:13" ht="15">
      <c r="B18" s="227" t="s">
        <v>166</v>
      </c>
      <c r="C18" s="227" t="s">
        <v>167</v>
      </c>
      <c r="D18" s="227" t="s">
        <v>168</v>
      </c>
      <c r="E18" s="228" t="s">
        <v>338</v>
      </c>
      <c r="F18" s="227" t="s">
        <v>173</v>
      </c>
      <c r="G18" s="227" t="s">
        <v>174</v>
      </c>
      <c r="H18" s="229" t="s">
        <v>385</v>
      </c>
      <c r="I18" s="229" t="s">
        <v>386</v>
      </c>
      <c r="J18" s="230" t="s">
        <v>387</v>
      </c>
      <c r="L18" t="s">
        <v>688</v>
      </c>
      <c r="M18" t="s">
        <v>26</v>
      </c>
    </row>
    <row r="19" spans="1:13">
      <c r="A19">
        <v>1</v>
      </c>
      <c r="B19" s="178" t="s">
        <v>169</v>
      </c>
      <c r="C19" s="179">
        <f>VLOOKUP(Summary!$B19,'Market Data'!$A$90:$C$93,2,FALSE)</f>
        <v>74216.106396097777</v>
      </c>
      <c r="D19" s="179">
        <f>VLOOKUP(Summary!$B19,'Market Data'!$A$90:$C$93,3,FALSE)</f>
        <v>303009657.57332218</v>
      </c>
      <c r="E19" s="173">
        <f>H6</f>
        <v>1</v>
      </c>
      <c r="F19" s="64">
        <f>E19*D19</f>
        <v>303009657.57332218</v>
      </c>
      <c r="G19" s="175">
        <f>F19/8760000</f>
        <v>34.59014355859842</v>
      </c>
      <c r="H19" s="176">
        <v>3150</v>
      </c>
      <c r="I19" s="175">
        <f>C19*H19</f>
        <v>233780735.147708</v>
      </c>
      <c r="J19" s="64">
        <v>69.392166352426912</v>
      </c>
      <c r="L19" s="5">
        <f>D19/C19</f>
        <v>4082.8018645458633</v>
      </c>
      <c r="M19" s="5">
        <f>F19/(C19*7.5)</f>
        <v>544.3735819394484</v>
      </c>
    </row>
    <row r="20" spans="1:13">
      <c r="A20">
        <v>2</v>
      </c>
      <c r="B20" s="178" t="s">
        <v>171</v>
      </c>
      <c r="C20" s="179">
        <f>VLOOKUP(Summary!$B20,'Market Data'!$A$90:$C$93,2,FALSE)</f>
        <v>25335.07227866631</v>
      </c>
      <c r="D20" s="179">
        <f>VLOOKUP(Summary!$B20,'Market Data'!$A$90:$C$93,3,FALSE)</f>
        <v>113375444.79904522</v>
      </c>
      <c r="E20" s="173">
        <f>H7</f>
        <v>1.8</v>
      </c>
      <c r="F20" s="64">
        <f t="shared" ref="F20:F21" si="1">E20*D20</f>
        <v>204075800.6382814</v>
      </c>
      <c r="G20" s="175">
        <f t="shared" ref="G20:G21" si="2">F20/8760000</f>
        <v>23.296324273776417</v>
      </c>
      <c r="H20" s="176">
        <v>4250</v>
      </c>
      <c r="I20" s="175">
        <f t="shared" ref="I20:I21" si="3">C20*H20</f>
        <v>107674057.18433182</v>
      </c>
      <c r="J20" s="64">
        <v>47.454539706699855</v>
      </c>
      <c r="L20" s="5">
        <f t="shared" ref="L20:L21" si="4">D20/C20</f>
        <v>4475.0393269852375</v>
      </c>
      <c r="M20" s="5">
        <f>F20/(C20*12.5)</f>
        <v>644.40566308587415</v>
      </c>
    </row>
    <row r="21" spans="1:13">
      <c r="A21">
        <v>3</v>
      </c>
      <c r="B21" s="178" t="s">
        <v>170</v>
      </c>
      <c r="C21" s="179">
        <f>VLOOKUP(Summary!$B21,'Market Data'!$A$90:$C$93,2,FALSE)</f>
        <v>25150.459393079185</v>
      </c>
      <c r="D21" s="179">
        <f>VLOOKUP(Summary!$B21,'Market Data'!$A$90:$C$93,3,FALSE)</f>
        <v>135134437.23303527</v>
      </c>
      <c r="E21" s="173">
        <f>H8</f>
        <v>4.2</v>
      </c>
      <c r="F21" s="64">
        <f t="shared" si="1"/>
        <v>567564636.37874818</v>
      </c>
      <c r="G21" s="175">
        <f t="shared" si="2"/>
        <v>64.790483604879924</v>
      </c>
      <c r="H21" s="176">
        <v>4821</v>
      </c>
      <c r="I21" s="175">
        <f t="shared" si="3"/>
        <v>121250364.73403475</v>
      </c>
      <c r="J21" s="64">
        <v>19.214359961080302</v>
      </c>
      <c r="L21" s="5">
        <f t="shared" si="4"/>
        <v>5373.0405127399417</v>
      </c>
      <c r="M21" s="5">
        <f>F21/(C21*25)</f>
        <v>902.67080614031033</v>
      </c>
    </row>
    <row r="22" spans="1:13">
      <c r="B22" s="177" t="s">
        <v>172</v>
      </c>
      <c r="C22" s="66">
        <f>SUM(C19:C21)</f>
        <v>124701.63806784328</v>
      </c>
      <c r="D22" s="66">
        <f>SUM(D19:D21)</f>
        <v>551519539.60540271</v>
      </c>
      <c r="E22" s="65"/>
      <c r="F22" s="67">
        <f>SUM(F19:F21)</f>
        <v>1074650094.5903518</v>
      </c>
      <c r="G22" s="67">
        <f>SUM(G19:G21)</f>
        <v>122.67695143725476</v>
      </c>
      <c r="H22" s="63"/>
      <c r="I22" s="175">
        <f>SUM(I19:I21)</f>
        <v>462705157.06607461</v>
      </c>
      <c r="J22" s="64">
        <f t="shared" ref="J22" si="5">-PMT(0.04,15,I22)/F22*1000</f>
        <v>38.725359243289766</v>
      </c>
    </row>
    <row r="24" spans="1:13">
      <c r="E24" t="s">
        <v>427</v>
      </c>
      <c r="F24" s="11">
        <v>0.85</v>
      </c>
      <c r="G24" s="50">
        <f>G22*F24</f>
        <v>104.27540872166654</v>
      </c>
    </row>
    <row r="25" spans="1:13">
      <c r="B25" t="s">
        <v>450</v>
      </c>
    </row>
    <row r="27" spans="1:13" ht="30">
      <c r="B27" s="227" t="s">
        <v>166</v>
      </c>
      <c r="C27" s="227" t="s">
        <v>167</v>
      </c>
      <c r="D27" s="227" t="s">
        <v>447</v>
      </c>
      <c r="E27" s="228" t="s">
        <v>338</v>
      </c>
      <c r="F27" s="227" t="s">
        <v>448</v>
      </c>
      <c r="G27" s="227" t="s">
        <v>174</v>
      </c>
      <c r="H27" s="229" t="s">
        <v>385</v>
      </c>
      <c r="I27" s="229" t="s">
        <v>449</v>
      </c>
      <c r="J27" s="230" t="s">
        <v>387</v>
      </c>
    </row>
    <row r="28" spans="1:13">
      <c r="A28">
        <v>1</v>
      </c>
      <c r="B28" s="178" t="s">
        <v>169</v>
      </c>
      <c r="C28" s="179">
        <f>ROUND(C19,-2)</f>
        <v>74200</v>
      </c>
      <c r="D28" s="179">
        <f>D19/1000000</f>
        <v>303.00965757332216</v>
      </c>
      <c r="E28" s="173">
        <f>E19</f>
        <v>1</v>
      </c>
      <c r="F28" s="64">
        <f>F19/1000000</f>
        <v>303.00965757332216</v>
      </c>
      <c r="G28" s="175">
        <f>G19</f>
        <v>34.59014355859842</v>
      </c>
      <c r="H28" s="176">
        <v>3150</v>
      </c>
      <c r="I28" s="175">
        <f>I19/1000000</f>
        <v>233.78073514770799</v>
      </c>
      <c r="J28" s="64">
        <v>69.392166352426912</v>
      </c>
    </row>
    <row r="29" spans="1:13">
      <c r="A29">
        <v>2</v>
      </c>
      <c r="B29" s="178" t="s">
        <v>171</v>
      </c>
      <c r="C29" s="179">
        <f t="shared" ref="C29:C30" si="6">ROUND(C20,-2)</f>
        <v>25300</v>
      </c>
      <c r="D29" s="179">
        <f t="shared" ref="D29:D30" si="7">D20/1000000</f>
        <v>113.37544479904523</v>
      </c>
      <c r="E29" s="173">
        <f t="shared" ref="E29:E30" si="8">E20</f>
        <v>1.8</v>
      </c>
      <c r="F29" s="64">
        <f t="shared" ref="F29:F30" si="9">F20/1000000</f>
        <v>204.07580063828141</v>
      </c>
      <c r="G29" s="175">
        <f t="shared" ref="G29:G30" si="10">G20</f>
        <v>23.296324273776417</v>
      </c>
      <c r="H29" s="176">
        <v>4250</v>
      </c>
      <c r="I29" s="175">
        <f t="shared" ref="I29:I31" si="11">I20/1000000</f>
        <v>107.67405718433182</v>
      </c>
      <c r="J29" s="64">
        <v>47.454539706699855</v>
      </c>
    </row>
    <row r="30" spans="1:13">
      <c r="A30">
        <v>3</v>
      </c>
      <c r="B30" s="178" t="s">
        <v>170</v>
      </c>
      <c r="C30" s="179">
        <f t="shared" si="6"/>
        <v>25200</v>
      </c>
      <c r="D30" s="179">
        <f t="shared" si="7"/>
        <v>135.13443723303527</v>
      </c>
      <c r="E30" s="173">
        <f t="shared" si="8"/>
        <v>4.2</v>
      </c>
      <c r="F30" s="64">
        <f t="shared" si="9"/>
        <v>567.56463637874822</v>
      </c>
      <c r="G30" s="175">
        <f t="shared" si="10"/>
        <v>64.790483604879924</v>
      </c>
      <c r="H30" s="176">
        <v>4821</v>
      </c>
      <c r="I30" s="175">
        <f t="shared" si="11"/>
        <v>121.25036473403475</v>
      </c>
      <c r="J30" s="64">
        <v>19.214359961080302</v>
      </c>
    </row>
    <row r="31" spans="1:13">
      <c r="B31" s="177" t="s">
        <v>172</v>
      </c>
      <c r="C31" s="66">
        <f>SUM(C28:C30)</f>
        <v>124700</v>
      </c>
      <c r="D31" s="66">
        <f>SUM(D28:D30)</f>
        <v>551.51953960540266</v>
      </c>
      <c r="E31" s="65"/>
      <c r="F31" s="67">
        <f>SUM(F28:F30)</f>
        <v>1074.6500945903517</v>
      </c>
      <c r="G31" s="67">
        <f>SUM(G28:G30)</f>
        <v>122.67695143725476</v>
      </c>
      <c r="H31" s="63"/>
      <c r="I31" s="175">
        <f t="shared" si="11"/>
        <v>462.70515706607461</v>
      </c>
      <c r="J31" s="64">
        <f t="shared" ref="J31" si="12">-PMT(0.04,15,I31)/F31*1000</f>
        <v>38.725359243289773</v>
      </c>
    </row>
    <row r="37" spans="2:5">
      <c r="B37" t="s">
        <v>22</v>
      </c>
      <c r="C37" t="s">
        <v>21</v>
      </c>
    </row>
    <row r="38" spans="2:5">
      <c r="B38" s="2">
        <f>Savings!G69</f>
        <v>10</v>
      </c>
      <c r="C38" s="5">
        <f>Savings!H69</f>
        <v>8920.9500000000007</v>
      </c>
    </row>
    <row r="39" spans="2:5">
      <c r="B39" s="2">
        <f>Savings!G70</f>
        <v>15</v>
      </c>
      <c r="C39" s="5">
        <f>Savings!H70</f>
        <v>10952</v>
      </c>
    </row>
    <row r="40" spans="2:5">
      <c r="B40" s="2">
        <f>Savings!G71</f>
        <v>20</v>
      </c>
      <c r="C40" s="5">
        <f>Savings!H71</f>
        <v>27967</v>
      </c>
    </row>
    <row r="41" spans="2:5">
      <c r="B41" s="2">
        <f>Savings!G72</f>
        <v>25</v>
      </c>
      <c r="C41" s="5">
        <f>Savings!H72</f>
        <v>31930.76923076923</v>
      </c>
    </row>
    <row r="44" spans="2:5">
      <c r="C44" s="8" t="s">
        <v>23</v>
      </c>
      <c r="D44" s="9">
        <f>Savings!R69</f>
        <v>24.323819370354112</v>
      </c>
    </row>
    <row r="46" spans="2:5">
      <c r="C46" t="s">
        <v>24</v>
      </c>
      <c r="D46">
        <v>15</v>
      </c>
      <c r="E46" t="s">
        <v>25</v>
      </c>
    </row>
  </sheetData>
  <sortState ref="A68:J70">
    <sortCondition ref="A68"/>
  </sortState>
  <mergeCells count="1">
    <mergeCell ref="B3:F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7"/>
  <dimension ref="A1:AW125"/>
  <sheetViews>
    <sheetView workbookViewId="0">
      <selection activeCell="C3" sqref="C3"/>
    </sheetView>
  </sheetViews>
  <sheetFormatPr defaultRowHeight="12.75"/>
  <cols>
    <col min="1" max="1" width="17.7109375" customWidth="1"/>
    <col min="2" max="2" width="13.85546875" customWidth="1"/>
    <col min="3" max="3" width="23.5703125" style="2" customWidth="1"/>
    <col min="4" max="4" width="21.28515625" customWidth="1"/>
    <col min="5" max="5" width="17.7109375" customWidth="1"/>
    <col min="6" max="6" width="17.42578125" customWidth="1"/>
    <col min="7" max="7" width="13.7109375" bestFit="1" customWidth="1"/>
    <col min="9" max="9" width="18" customWidth="1"/>
    <col min="10" max="10" width="15.140625" customWidth="1"/>
    <col min="11" max="11" width="18.28515625" customWidth="1"/>
    <col min="12" max="12" width="12.28515625" bestFit="1" customWidth="1"/>
    <col min="13" max="13" width="13.7109375" customWidth="1"/>
    <col min="14" max="14" width="15" bestFit="1" customWidth="1"/>
    <col min="15" max="15" width="13.7109375" customWidth="1"/>
    <col min="16" max="16" width="13.42578125" customWidth="1"/>
    <col min="17" max="17" width="16" customWidth="1"/>
    <col min="18" max="20" width="16.5703125" bestFit="1" customWidth="1"/>
    <col min="24" max="25" width="14.28515625" customWidth="1"/>
    <col min="26" max="26" width="19.7109375" customWidth="1"/>
    <col min="27" max="27" width="22.85546875" customWidth="1"/>
    <col min="28" max="28" width="14.28515625" customWidth="1"/>
    <col min="29" max="29" width="15" bestFit="1" customWidth="1"/>
    <col min="30" max="30" width="10.5703125" customWidth="1"/>
    <col min="31" max="31" width="13.5703125" customWidth="1"/>
    <col min="32" max="32" width="17.42578125" customWidth="1"/>
    <col min="33" max="33" width="23.42578125" customWidth="1"/>
    <col min="34" max="34" width="16.42578125" customWidth="1"/>
    <col min="35" max="35" width="15.85546875" customWidth="1"/>
    <col min="36" max="36" width="14" customWidth="1"/>
    <col min="37" max="37" width="17.28515625" customWidth="1"/>
    <col min="39" max="39" width="14.7109375" customWidth="1"/>
    <col min="40" max="40" width="13.7109375" customWidth="1"/>
  </cols>
  <sheetData>
    <row r="1" spans="1:49">
      <c r="X1" s="368" t="s">
        <v>765</v>
      </c>
      <c r="Y1" s="369"/>
      <c r="Z1" s="369"/>
      <c r="AA1" s="369"/>
      <c r="AB1" s="369"/>
      <c r="AC1" s="369"/>
      <c r="AD1" s="369"/>
      <c r="AE1" s="369"/>
      <c r="AF1" s="369"/>
      <c r="AG1" s="369"/>
      <c r="AH1" s="369"/>
      <c r="AI1" s="369"/>
    </row>
    <row r="2" spans="1:49">
      <c r="C2" s="2" t="s">
        <v>790</v>
      </c>
      <c r="X2" t="s">
        <v>335</v>
      </c>
      <c r="Y2" s="139" t="s">
        <v>50</v>
      </c>
    </row>
    <row r="3" spans="1:49">
      <c r="X3" s="360" t="s">
        <v>763</v>
      </c>
    </row>
    <row r="4" spans="1:49">
      <c r="A4" t="s">
        <v>456</v>
      </c>
      <c r="I4" t="s">
        <v>457</v>
      </c>
      <c r="Q4" s="5"/>
      <c r="R4" s="5" t="s">
        <v>311</v>
      </c>
      <c r="S4" s="5"/>
      <c r="T4" s="5"/>
      <c r="Z4" t="s">
        <v>311</v>
      </c>
    </row>
    <row r="5" spans="1:49" ht="64.5">
      <c r="A5" s="362"/>
      <c r="B5" s="363" t="s">
        <v>312</v>
      </c>
      <c r="C5" s="363" t="s">
        <v>166</v>
      </c>
      <c r="D5" s="363" t="s">
        <v>434</v>
      </c>
      <c r="E5" s="363" t="s">
        <v>742</v>
      </c>
      <c r="F5" s="364" t="s">
        <v>697</v>
      </c>
      <c r="G5" s="363" t="s">
        <v>705</v>
      </c>
      <c r="I5" s="68" t="s">
        <v>335</v>
      </c>
      <c r="J5" s="68" t="s">
        <v>334</v>
      </c>
      <c r="K5" s="68" t="s">
        <v>336</v>
      </c>
      <c r="L5" s="68" t="s">
        <v>337</v>
      </c>
      <c r="M5" s="68" t="s">
        <v>338</v>
      </c>
      <c r="N5" s="68" t="s">
        <v>341</v>
      </c>
      <c r="O5" s="140" t="s">
        <v>354</v>
      </c>
      <c r="P5" s="299" t="s">
        <v>713</v>
      </c>
      <c r="Q5" s="196" t="s">
        <v>312</v>
      </c>
      <c r="R5" s="196" t="s">
        <v>343</v>
      </c>
      <c r="S5" s="196" t="s">
        <v>344</v>
      </c>
      <c r="T5" s="196" t="s">
        <v>345</v>
      </c>
      <c r="X5" s="172" t="s">
        <v>312</v>
      </c>
      <c r="Y5" s="172" t="s">
        <v>166</v>
      </c>
      <c r="Z5" s="172" t="s">
        <v>434</v>
      </c>
      <c r="AA5" s="172" t="s">
        <v>435</v>
      </c>
      <c r="AB5" s="172" t="s">
        <v>437</v>
      </c>
      <c r="AC5" t="s">
        <v>436</v>
      </c>
      <c r="AD5" s="309" t="s">
        <v>338</v>
      </c>
      <c r="AE5" s="309" t="s">
        <v>341</v>
      </c>
      <c r="AF5" s="309" t="s">
        <v>28</v>
      </c>
      <c r="AG5" s="353" t="s">
        <v>761</v>
      </c>
      <c r="AH5" s="356"/>
      <c r="AI5" s="357"/>
      <c r="AJ5" s="358"/>
      <c r="AL5" s="195" t="s">
        <v>757</v>
      </c>
    </row>
    <row r="6" spans="1:49">
      <c r="A6" t="str">
        <f>CONCATENATE(B6,C6)</f>
        <v>Assembly&lt;10</v>
      </c>
      <c r="B6" t="s">
        <v>46</v>
      </c>
      <c r="C6" s="2" t="s">
        <v>169</v>
      </c>
      <c r="D6" s="5">
        <v>1389.8440238103738</v>
      </c>
      <c r="E6" s="5">
        <v>5340804.68423816</v>
      </c>
      <c r="F6" s="10">
        <f>E6/D6</f>
        <v>3842.7367335766908</v>
      </c>
      <c r="G6" s="302">
        <v>5573008.0409582332</v>
      </c>
      <c r="H6">
        <v>3</v>
      </c>
      <c r="I6" t="str">
        <f>B6</f>
        <v>Assembly</v>
      </c>
      <c r="J6" t="str">
        <f>C6</f>
        <v>&lt;10</v>
      </c>
      <c r="K6" s="5">
        <f>VLOOKUP(CONCATENATE($I6,$J6),$A$6:$E$44,4,FALSE)</f>
        <v>1389.8440238103738</v>
      </c>
      <c r="L6" s="5">
        <f>VLOOKUP(CONCATENATE($I6,$J6),$A$6:$E$44,5,FALSE)</f>
        <v>5340804.68423816</v>
      </c>
      <c r="M6" s="50">
        <f>VLOOKUP($J6,Summary!$B$6:$H$8,7,FALSE)</f>
        <v>1</v>
      </c>
      <c r="N6" s="5">
        <f>M6*L6</f>
        <v>5340804.68423816</v>
      </c>
      <c r="O6" s="5">
        <f>VLOOKUP($J6,Cost!$F$13:$G$15,2,FALSE)*K6</f>
        <v>4655977.4797647521</v>
      </c>
      <c r="P6" s="303">
        <f>N6/VLOOKUP(CONCATENATE($I6,$J6),$A$6:$G$44,7,FALSE)</f>
        <v>0.95833428643678253</v>
      </c>
      <c r="Q6" s="5" t="s">
        <v>46</v>
      </c>
      <c r="R6" s="5">
        <v>368872051.99999982</v>
      </c>
      <c r="S6" s="5">
        <v>379806197.54883689</v>
      </c>
      <c r="T6" s="5">
        <v>372703589.89057851</v>
      </c>
      <c r="W6" s="5"/>
      <c r="X6" t="s">
        <v>726</v>
      </c>
      <c r="Y6" s="312" t="s">
        <v>169</v>
      </c>
      <c r="Z6" s="5">
        <v>4090.5783334781117</v>
      </c>
      <c r="AA6" s="5">
        <v>12123422.700954515</v>
      </c>
      <c r="AB6" s="5">
        <v>7670200.7002490042</v>
      </c>
      <c r="AC6" s="5">
        <v>7670200.7002490042</v>
      </c>
      <c r="AD6" s="50">
        <f>VLOOKUP($Y6,Summary!$B$6:$H$8,7,FALSE)</f>
        <v>1</v>
      </c>
      <c r="AE6" s="5">
        <f>AD6*AA6</f>
        <v>12123422.700954515</v>
      </c>
      <c r="AF6" s="50">
        <f>AE6/AB6</f>
        <v>1.5805874154715329</v>
      </c>
      <c r="AG6" s="5">
        <f>VLOOKUP($Y6,Cost!$F$13:$G$15,2,FALSE)*Z6</f>
        <v>13703437.417151675</v>
      </c>
      <c r="AH6" s="50"/>
      <c r="AI6" s="302"/>
    </row>
    <row r="7" spans="1:49">
      <c r="A7" t="str">
        <f t="shared" ref="A7:A36" si="0">CONCATENATE(B7,C7)</f>
        <v>Assembly10-15</v>
      </c>
      <c r="B7" t="s">
        <v>46</v>
      </c>
      <c r="C7" s="2" t="s">
        <v>171</v>
      </c>
      <c r="D7" s="5">
        <v>2841.5632546482439</v>
      </c>
      <c r="E7" s="5">
        <v>15993372.9259523</v>
      </c>
      <c r="F7" s="10">
        <f t="shared" ref="F7:F36" si="1">E7/D7</f>
        <v>5628.3712494487881</v>
      </c>
      <c r="G7" s="302">
        <v>31755429.459536947</v>
      </c>
      <c r="H7">
        <f>H6+1</f>
        <v>4</v>
      </c>
      <c r="I7" t="str">
        <f t="shared" ref="I7:I35" si="2">B7</f>
        <v>Assembly</v>
      </c>
      <c r="J7" t="str">
        <f>C8</f>
        <v>&gt;15</v>
      </c>
      <c r="K7" s="5">
        <f t="shared" ref="K7:K35" si="3">VLOOKUP(CONCATENATE($I7,$J7),$A$6:$E$44,4,FALSE)</f>
        <v>10288.794548269556</v>
      </c>
      <c r="L7" s="5">
        <f t="shared" ref="L7:L35" si="4">VLOOKUP(CONCATENATE($I7,$J7),$A$6:$E$44,5,FALSE)</f>
        <v>53835255.825996503</v>
      </c>
      <c r="M7" s="50">
        <f>VLOOKUP($J7,Summary!$B$6:$H$8,7,FALSE)</f>
        <v>4.2</v>
      </c>
      <c r="N7" s="5">
        <f t="shared" ref="N7:N29" si="5">M7*L7</f>
        <v>226108074.46918532</v>
      </c>
      <c r="O7" s="5">
        <f>VLOOKUP($J7,Cost!$F$13:$G$15,2,FALSE)*K7</f>
        <v>49602278.517207526</v>
      </c>
      <c r="P7" s="303">
        <f t="shared" ref="P7:P35" si="6">N7/VLOOKUP(CONCATENATE($I7,$J7),$A$6:$G$44,7,FALSE)</f>
        <v>50.00013856000102</v>
      </c>
      <c r="Q7" s="5" t="s">
        <v>48</v>
      </c>
      <c r="R7" s="5">
        <v>77120838</v>
      </c>
      <c r="S7" s="5">
        <v>88585503.157569811</v>
      </c>
      <c r="T7" s="5">
        <v>88585503.157569811</v>
      </c>
      <c r="W7" s="5"/>
      <c r="Y7" s="312" t="s">
        <v>170</v>
      </c>
      <c r="Z7" s="5">
        <v>1117.4977354134001</v>
      </c>
      <c r="AA7" s="5">
        <v>3137933.6410408271</v>
      </c>
      <c r="AB7" s="5">
        <v>4962807.4429708999</v>
      </c>
      <c r="AC7" s="5">
        <v>4962807.4429708999</v>
      </c>
      <c r="AD7" s="50">
        <f>VLOOKUP($Y7,Summary!$B$6:$H$8,7,FALSE)</f>
        <v>4.2</v>
      </c>
      <c r="AE7" s="5">
        <f t="shared" ref="AE7:AE10" si="7">AD7*AA7</f>
        <v>13179321.292371474</v>
      </c>
      <c r="AF7" s="50">
        <f t="shared" ref="AF7:AF17" si="8">AE7/AB7</f>
        <v>2.655618104030629</v>
      </c>
      <c r="AG7" s="5">
        <f>VLOOKUP($Y7,Cost!$F$13:$G$15,2,FALSE)*Z7</f>
        <v>5387456.5824280018</v>
      </c>
      <c r="AH7" s="50"/>
      <c r="AI7" s="302"/>
      <c r="AM7" t="s">
        <v>735</v>
      </c>
    </row>
    <row r="8" spans="1:49">
      <c r="A8" t="str">
        <f t="shared" si="0"/>
        <v>Assembly&gt;15</v>
      </c>
      <c r="B8" t="s">
        <v>46</v>
      </c>
      <c r="C8" s="2" t="s">
        <v>170</v>
      </c>
      <c r="D8" s="5">
        <v>10288.794548269556</v>
      </c>
      <c r="E8" s="5">
        <v>53835255.825996503</v>
      </c>
      <c r="F8" s="10">
        <f t="shared" si="1"/>
        <v>5232.4162537632656</v>
      </c>
      <c r="G8" s="302">
        <v>4522148.9576044232</v>
      </c>
      <c r="H8">
        <f t="shared" ref="H8:H35" si="9">H7+1</f>
        <v>5</v>
      </c>
      <c r="I8" t="str">
        <f t="shared" si="2"/>
        <v>Assembly</v>
      </c>
      <c r="J8" t="str">
        <f>C7</f>
        <v>10-15</v>
      </c>
      <c r="K8" s="5">
        <f t="shared" si="3"/>
        <v>2841.5632546482439</v>
      </c>
      <c r="L8" s="5">
        <f t="shared" si="4"/>
        <v>15993372.9259523</v>
      </c>
      <c r="M8" s="50">
        <f>VLOOKUP($J8,Summary!$B$6:$H$8,7,FALSE)</f>
        <v>1.8</v>
      </c>
      <c r="N8" s="5">
        <f t="shared" si="5"/>
        <v>28788071.266714141</v>
      </c>
      <c r="O8" s="5">
        <f>VLOOKUP($J8,Cost!$F$13:$G$15,2,FALSE)*K8</f>
        <v>12076643.832255036</v>
      </c>
      <c r="P8" s="303">
        <f t="shared" si="6"/>
        <v>0.90655587900003554</v>
      </c>
      <c r="Q8" s="5" t="s">
        <v>49</v>
      </c>
      <c r="R8" s="5">
        <v>171040928</v>
      </c>
      <c r="S8" s="5">
        <v>153536495.07706255</v>
      </c>
      <c r="T8" s="5">
        <v>149073915.68451506</v>
      </c>
      <c r="W8" s="5"/>
      <c r="X8" t="s">
        <v>729</v>
      </c>
      <c r="Y8" s="312" t="s">
        <v>169</v>
      </c>
      <c r="Z8" s="5">
        <v>2106.1624437573028</v>
      </c>
      <c r="AA8" s="5">
        <v>5009790.7538002674</v>
      </c>
      <c r="AB8" s="5">
        <v>4435858.9282120448</v>
      </c>
      <c r="AC8" s="5">
        <v>5584138.6925485302</v>
      </c>
      <c r="AD8" s="50">
        <f>VLOOKUP($Y8,Summary!$B$6:$H$8,7,FALSE)</f>
        <v>1</v>
      </c>
      <c r="AE8" s="5">
        <f t="shared" si="7"/>
        <v>5009790.7538002674</v>
      </c>
      <c r="AF8" s="50">
        <f t="shared" si="8"/>
        <v>1.1293845983103787</v>
      </c>
      <c r="AG8" s="5">
        <f>VLOOKUP($Y8,Cost!$F$13:$G$15,2,FALSE)*Z8</f>
        <v>7055644.1865869639</v>
      </c>
      <c r="AH8" s="50"/>
      <c r="AI8" s="302"/>
      <c r="AL8" t="s">
        <v>726</v>
      </c>
      <c r="AM8" s="302">
        <v>95458311.526895106</v>
      </c>
      <c r="AW8" s="12"/>
    </row>
    <row r="9" spans="1:49">
      <c r="A9" t="str">
        <f t="shared" si="0"/>
        <v>Grocery&lt;10</v>
      </c>
      <c r="B9" t="s">
        <v>48</v>
      </c>
      <c r="C9" s="2" t="s">
        <v>169</v>
      </c>
      <c r="D9" s="5">
        <v>2706.9280396497397</v>
      </c>
      <c r="E9" s="5">
        <v>18803983.688270546</v>
      </c>
      <c r="F9" s="10">
        <f t="shared" si="1"/>
        <v>6946.6138045929247</v>
      </c>
      <c r="G9" s="302">
        <v>9070196.4822326284</v>
      </c>
      <c r="H9">
        <f t="shared" si="9"/>
        <v>6</v>
      </c>
      <c r="I9" t="str">
        <f t="shared" si="2"/>
        <v>Grocery</v>
      </c>
      <c r="J9" t="str">
        <f>J6</f>
        <v>&lt;10</v>
      </c>
      <c r="K9" s="5">
        <f t="shared" si="3"/>
        <v>2706.9280396497397</v>
      </c>
      <c r="L9" s="5">
        <f t="shared" si="4"/>
        <v>18803983.688270546</v>
      </c>
      <c r="M9" s="50">
        <f>VLOOKUP($J9,Summary!$B$6:$H$8,7,FALSE)</f>
        <v>1</v>
      </c>
      <c r="N9" s="5">
        <f t="shared" si="5"/>
        <v>18803983.688270546</v>
      </c>
      <c r="O9" s="5">
        <f>VLOOKUP($J9,Cost!$F$13:$G$15,2,FALSE)*K9</f>
        <v>9068208.9328266289</v>
      </c>
      <c r="P9" s="303">
        <f t="shared" si="6"/>
        <v>2.0731616702135596</v>
      </c>
      <c r="Q9" s="5" t="s">
        <v>50</v>
      </c>
      <c r="R9" s="5">
        <v>734358126.00000012</v>
      </c>
      <c r="S9" s="5">
        <v>769497122.04155385</v>
      </c>
      <c r="T9" s="5">
        <v>712754526.89217353</v>
      </c>
      <c r="W9" s="5"/>
      <c r="Y9" s="312" t="s">
        <v>171</v>
      </c>
      <c r="Z9" s="5">
        <v>7679.9975047442422</v>
      </c>
      <c r="AA9" s="5">
        <v>17406364.132299982</v>
      </c>
      <c r="AB9" s="5">
        <v>13844925.998334862</v>
      </c>
      <c r="AC9" s="5">
        <v>14924292.29383575</v>
      </c>
      <c r="AD9" s="50">
        <f>VLOOKUP($Y9,Summary!$B$6:$H$8,7,FALSE)</f>
        <v>1.8</v>
      </c>
      <c r="AE9" s="5">
        <f t="shared" si="7"/>
        <v>31331455.438139968</v>
      </c>
      <c r="AF9" s="50">
        <f t="shared" si="8"/>
        <v>2.2630280177668136</v>
      </c>
      <c r="AG9" s="5">
        <f>VLOOKUP($Y9,Cost!$F$13:$G$15,2,FALSE)*Z9</f>
        <v>32639989.395163029</v>
      </c>
      <c r="AH9" s="50"/>
      <c r="AI9" s="302"/>
      <c r="AL9" t="s">
        <v>727</v>
      </c>
      <c r="AM9" s="302">
        <v>161400968.0973438</v>
      </c>
      <c r="AW9" s="12"/>
    </row>
    <row r="10" spans="1:49">
      <c r="A10" t="str">
        <f t="shared" si="0"/>
        <v>Grocery10-15</v>
      </c>
      <c r="B10" t="s">
        <v>48</v>
      </c>
      <c r="C10" s="2" t="s">
        <v>171</v>
      </c>
      <c r="D10" s="5">
        <v>2535.0925405693265</v>
      </c>
      <c r="E10" s="5">
        <v>19570081.961428314</v>
      </c>
      <c r="F10" s="10">
        <f t="shared" si="1"/>
        <v>7719.6716286472529</v>
      </c>
      <c r="G10" s="302">
        <v>6547195.5751847653</v>
      </c>
      <c r="H10">
        <f t="shared" si="9"/>
        <v>7</v>
      </c>
      <c r="I10" t="str">
        <f t="shared" si="2"/>
        <v>Grocery</v>
      </c>
      <c r="J10" t="str">
        <f t="shared" ref="J10:J35" si="10">J7</f>
        <v>&gt;15</v>
      </c>
      <c r="K10" s="5">
        <f t="shared" si="3"/>
        <v>559.79383980980037</v>
      </c>
      <c r="L10" s="5">
        <f t="shared" si="4"/>
        <v>4016623.7753532156</v>
      </c>
      <c r="M10" s="50">
        <f>VLOOKUP($J10,Summary!$B$6:$H$8,7,FALSE)</f>
        <v>4.2</v>
      </c>
      <c r="N10" s="5">
        <f t="shared" si="5"/>
        <v>16869819.856483508</v>
      </c>
      <c r="O10" s="5">
        <f>VLOOKUP($J10,Cost!$F$13:$G$15,2,FALSE)*K10</f>
        <v>2698766.1017230474</v>
      </c>
      <c r="P10" s="303">
        <f t="shared" si="6"/>
        <v>2.2924172042580055</v>
      </c>
      <c r="Q10" s="5" t="s">
        <v>55</v>
      </c>
      <c r="R10" s="5">
        <v>333434465.00000012</v>
      </c>
      <c r="S10" s="5">
        <v>333144840.08675796</v>
      </c>
      <c r="T10" s="5">
        <v>282326177.65211385</v>
      </c>
      <c r="W10" s="5"/>
      <c r="Y10" s="312" t="s">
        <v>170</v>
      </c>
      <c r="Z10" s="5">
        <v>1568.97230222651</v>
      </c>
      <c r="AA10" s="5">
        <v>3530187.6800096477</v>
      </c>
      <c r="AB10" s="5">
        <v>4685405.480426468</v>
      </c>
      <c r="AC10" s="5">
        <v>4588154.805999008</v>
      </c>
      <c r="AD10" s="50">
        <f>VLOOKUP($Y10,Summary!$B$6:$H$8,7,FALSE)</f>
        <v>4.2</v>
      </c>
      <c r="AE10" s="5">
        <f t="shared" si="7"/>
        <v>14826788.256040521</v>
      </c>
      <c r="AF10" s="50">
        <f t="shared" si="8"/>
        <v>3.1644621405725122</v>
      </c>
      <c r="AG10" s="5">
        <f>VLOOKUP($Y10,Cost!$F$13:$G$15,2,FALSE)*Z10</f>
        <v>7564015.469034005</v>
      </c>
      <c r="AH10" s="50"/>
      <c r="AI10" s="302"/>
      <c r="AL10" t="s">
        <v>728</v>
      </c>
      <c r="AM10" s="302">
        <v>121088778.65134133</v>
      </c>
      <c r="AW10" s="12"/>
    </row>
    <row r="11" spans="1:49">
      <c r="A11" t="str">
        <f t="shared" si="0"/>
        <v>Grocery&gt;15</v>
      </c>
      <c r="B11" t="s">
        <v>48</v>
      </c>
      <c r="C11" s="2" t="s">
        <v>170</v>
      </c>
      <c r="D11" s="5">
        <v>559.79383980980037</v>
      </c>
      <c r="E11" s="5">
        <v>4016623.7753532156</v>
      </c>
      <c r="F11" s="10">
        <f t="shared" si="1"/>
        <v>7175.1839511451808</v>
      </c>
      <c r="G11" s="302">
        <v>7358965.822254776</v>
      </c>
      <c r="H11">
        <f t="shared" si="9"/>
        <v>8</v>
      </c>
      <c r="I11" t="str">
        <f t="shared" si="2"/>
        <v>Grocery</v>
      </c>
      <c r="J11" t="str">
        <f t="shared" si="10"/>
        <v>10-15</v>
      </c>
      <c r="K11" s="5">
        <f t="shared" si="3"/>
        <v>2535.0925405693265</v>
      </c>
      <c r="L11" s="5">
        <f t="shared" si="4"/>
        <v>19570081.961428314</v>
      </c>
      <c r="M11" s="50">
        <f>VLOOKUP($J11,Summary!$B$6:$H$8,7,FALSE)</f>
        <v>1.8</v>
      </c>
      <c r="N11" s="5">
        <f t="shared" si="5"/>
        <v>35226147.530570969</v>
      </c>
      <c r="O11" s="5">
        <f>VLOOKUP($J11,Cost!$F$13:$G$15,2,FALSE)*K11</f>
        <v>10774143.297419637</v>
      </c>
      <c r="P11" s="303">
        <f t="shared" si="6"/>
        <v>5.3803414188641936</v>
      </c>
      <c r="Q11" s="5" t="s">
        <v>51</v>
      </c>
      <c r="R11" s="5">
        <v>125160635.99999996</v>
      </c>
      <c r="S11" s="5">
        <v>137766287.28797898</v>
      </c>
      <c r="T11" s="5">
        <v>135656717.42271608</v>
      </c>
      <c r="W11" s="5"/>
      <c r="X11" t="s">
        <v>728</v>
      </c>
      <c r="Y11" s="312" t="s">
        <v>169</v>
      </c>
      <c r="Z11" s="5">
        <v>11021.976987731274</v>
      </c>
      <c r="AA11" s="5">
        <v>37210148.188899875</v>
      </c>
      <c r="AB11" s="5">
        <v>12729006.015026918</v>
      </c>
      <c r="AC11" s="5">
        <v>15365171.617797319</v>
      </c>
      <c r="AD11" s="50">
        <f>VLOOKUP($Y11,Summary!$B$6:$H$8,7,FALSE)</f>
        <v>1</v>
      </c>
      <c r="AE11" s="5">
        <f t="shared" ref="AE11:AE17" si="11">AD11*AA11</f>
        <v>37210148.188899875</v>
      </c>
      <c r="AF11" s="50">
        <f>AE11/AB11</f>
        <v>2.9232563913452743</v>
      </c>
      <c r="AG11" s="5">
        <f>VLOOKUP($Y11,Cost!$F$13:$G$15,2,FALSE)*Z11</f>
        <v>36923622.908899769</v>
      </c>
      <c r="AH11" s="50"/>
      <c r="AI11" s="302"/>
      <c r="AL11" t="s">
        <v>729</v>
      </c>
      <c r="AM11" s="302">
        <v>174829456.26170081</v>
      </c>
      <c r="AW11" s="12"/>
    </row>
    <row r="12" spans="1:49">
      <c r="A12" t="str">
        <f t="shared" si="0"/>
        <v>Lodging&lt;10</v>
      </c>
      <c r="B12" t="s">
        <v>49</v>
      </c>
      <c r="C12" s="2" t="s">
        <v>169</v>
      </c>
      <c r="D12" s="5">
        <v>837.61130393640974</v>
      </c>
      <c r="E12" s="5">
        <v>2107861.4755657925</v>
      </c>
      <c r="F12" s="10">
        <f t="shared" si="1"/>
        <v>2516.5150776496903</v>
      </c>
      <c r="G12" s="302">
        <v>4310272.9749604566</v>
      </c>
      <c r="H12">
        <f t="shared" si="9"/>
        <v>9</v>
      </c>
      <c r="I12" t="str">
        <f t="shared" si="2"/>
        <v>Lodging</v>
      </c>
      <c r="J12" t="str">
        <f>J9</f>
        <v>&lt;10</v>
      </c>
      <c r="K12" s="5">
        <f t="shared" si="3"/>
        <v>837.61130393640974</v>
      </c>
      <c r="L12" s="5">
        <f t="shared" si="4"/>
        <v>2107861.4755657925</v>
      </c>
      <c r="M12" s="50">
        <f>VLOOKUP($J12,Summary!$B$6:$H$8,7,FALSE)</f>
        <v>1</v>
      </c>
      <c r="N12" s="5">
        <f t="shared" si="5"/>
        <v>2107861.4755657925</v>
      </c>
      <c r="O12" s="5">
        <f>VLOOKUP($J12,Cost!$F$13:$G$15,2,FALSE)*K12</f>
        <v>2805997.8681869726</v>
      </c>
      <c r="P12" s="303">
        <f t="shared" si="6"/>
        <v>0.48903201440162397</v>
      </c>
      <c r="Q12" s="5" t="s">
        <v>302</v>
      </c>
      <c r="R12" s="5">
        <v>53036739.000000015</v>
      </c>
      <c r="S12" s="5">
        <v>62274468.311796792</v>
      </c>
      <c r="T12" s="5">
        <v>62274468.311796792</v>
      </c>
      <c r="W12" s="5"/>
      <c r="Y12" s="312" t="s">
        <v>171</v>
      </c>
      <c r="Z12" s="5">
        <v>605.95709864284197</v>
      </c>
      <c r="AA12" s="5">
        <v>493901.87958433293</v>
      </c>
      <c r="AB12" s="5">
        <v>1611082.5592318678</v>
      </c>
      <c r="AC12" s="5">
        <v>1499811.0487260225</v>
      </c>
      <c r="AD12" s="50">
        <f>VLOOKUP($Y12,Summary!$B$6:$H$8,7,FALSE)</f>
        <v>1.8</v>
      </c>
      <c r="AE12" s="5">
        <f t="shared" si="11"/>
        <v>889023.38325179927</v>
      </c>
      <c r="AF12" s="50">
        <f t="shared" si="8"/>
        <v>0.55181739641925487</v>
      </c>
      <c r="AG12" s="5">
        <f>VLOOKUP($Y12,Cost!$F$13:$G$15,2,FALSE)*Z12</f>
        <v>2575317.6692320784</v>
      </c>
      <c r="AH12" s="50"/>
      <c r="AI12" s="302"/>
      <c r="AL12" t="s">
        <v>730</v>
      </c>
      <c r="AM12" s="302">
        <v>92933715.9735502</v>
      </c>
      <c r="AW12" s="12"/>
    </row>
    <row r="13" spans="1:49" ht="15">
      <c r="A13" t="str">
        <f t="shared" si="0"/>
        <v>Lodging10-15</v>
      </c>
      <c r="B13" t="s">
        <v>49</v>
      </c>
      <c r="C13" s="2" t="s">
        <v>171</v>
      </c>
      <c r="D13" s="5">
        <v>890.64902896941157</v>
      </c>
      <c r="E13" s="5">
        <v>2553252.9476973386</v>
      </c>
      <c r="F13" s="10">
        <f t="shared" si="1"/>
        <v>2866.7329830828653</v>
      </c>
      <c r="G13" s="302">
        <v>3266548.3327299538</v>
      </c>
      <c r="H13">
        <f t="shared" si="9"/>
        <v>10</v>
      </c>
      <c r="I13" t="str">
        <f t="shared" si="2"/>
        <v>Lodging</v>
      </c>
      <c r="J13" t="str">
        <f t="shared" si="10"/>
        <v>&gt;15</v>
      </c>
      <c r="K13" s="5">
        <f t="shared" si="3"/>
        <v>827.83744184725072</v>
      </c>
      <c r="L13" s="5">
        <f t="shared" si="4"/>
        <v>3039950.1740087951</v>
      </c>
      <c r="M13" s="50">
        <f>VLOOKUP($J13,Summary!$B$6:$H$8,7,FALSE)</f>
        <v>4.2</v>
      </c>
      <c r="N13" s="5">
        <f t="shared" si="5"/>
        <v>12767790.730836939</v>
      </c>
      <c r="O13" s="5">
        <f>VLOOKUP($J13,Cost!$F$13:$G$15,2,FALSE)*K13</f>
        <v>3991004.3071455956</v>
      </c>
      <c r="P13" s="303">
        <f t="shared" si="6"/>
        <v>4.8978578325531297</v>
      </c>
      <c r="Q13" s="5" t="s">
        <v>313</v>
      </c>
      <c r="R13" s="5">
        <v>570929487.99999964</v>
      </c>
      <c r="S13" s="5">
        <v>680808943.79469287</v>
      </c>
      <c r="T13" s="5">
        <v>681148099.04536903</v>
      </c>
      <c r="W13" s="5"/>
      <c r="Y13" s="312" t="s">
        <v>170</v>
      </c>
      <c r="Z13" s="5">
        <v>1404.3492102380551</v>
      </c>
      <c r="AA13" s="5">
        <v>5958668.2218173146</v>
      </c>
      <c r="AB13" s="5">
        <v>5116827.8747452442</v>
      </c>
      <c r="AC13" s="5">
        <v>7021943.1257351208</v>
      </c>
      <c r="AD13" s="50">
        <f>VLOOKUP($Y13,Summary!$B$6:$H$8,7,FALSE)</f>
        <v>4.2</v>
      </c>
      <c r="AE13" s="5">
        <f t="shared" si="11"/>
        <v>25026406.531632721</v>
      </c>
      <c r="AF13" s="50">
        <f t="shared" si="8"/>
        <v>4.8910002728748685</v>
      </c>
      <c r="AG13" s="5">
        <f>VLOOKUP($Y13,Cost!$F$13:$G$15,2,FALSE)*Z13</f>
        <v>6770367.5425576633</v>
      </c>
      <c r="AH13" s="50"/>
      <c r="AI13" s="302"/>
      <c r="AL13" s="322" t="s">
        <v>172</v>
      </c>
      <c r="AM13" s="321">
        <v>645711230.51083124</v>
      </c>
    </row>
    <row r="14" spans="1:49">
      <c r="A14" t="str">
        <f t="shared" si="0"/>
        <v>Lodging&gt;15</v>
      </c>
      <c r="B14" t="s">
        <v>49</v>
      </c>
      <c r="C14" s="2" t="s">
        <v>170</v>
      </c>
      <c r="D14" s="5">
        <v>827.83744184725072</v>
      </c>
      <c r="E14" s="5">
        <v>3039950.1740087951</v>
      </c>
      <c r="F14" s="10">
        <f t="shared" si="1"/>
        <v>3672.1583493800399</v>
      </c>
      <c r="G14" s="302">
        <v>2606811.2157068085</v>
      </c>
      <c r="H14">
        <f t="shared" si="9"/>
        <v>11</v>
      </c>
      <c r="I14" t="str">
        <f t="shared" si="2"/>
        <v>Lodging</v>
      </c>
      <c r="J14" t="str">
        <f t="shared" si="10"/>
        <v>10-15</v>
      </c>
      <c r="K14" s="5">
        <f t="shared" si="3"/>
        <v>890.64902896941157</v>
      </c>
      <c r="L14" s="5">
        <f t="shared" si="4"/>
        <v>2553252.9476973386</v>
      </c>
      <c r="M14" s="50">
        <f>VLOOKUP($J14,Summary!$B$6:$H$8,7,FALSE)</f>
        <v>1.8</v>
      </c>
      <c r="N14" s="5">
        <f t="shared" si="5"/>
        <v>4595855.3058552099</v>
      </c>
      <c r="O14" s="5">
        <f>VLOOKUP($J14,Cost!$F$13:$G$15,2,FALSE)*K14</f>
        <v>3785258.3731199992</v>
      </c>
      <c r="P14" s="303">
        <f t="shared" si="6"/>
        <v>1.4069454475251293</v>
      </c>
      <c r="Q14" s="5" t="s">
        <v>314</v>
      </c>
      <c r="R14" s="5">
        <v>245353160.99999994</v>
      </c>
      <c r="S14" s="5">
        <v>241588835.87174132</v>
      </c>
      <c r="T14" s="5">
        <v>239515298.91651279</v>
      </c>
      <c r="X14" t="s">
        <v>730</v>
      </c>
      <c r="Y14" s="312" t="s">
        <v>169</v>
      </c>
      <c r="Z14" s="5">
        <v>5389.7561720198082</v>
      </c>
      <c r="AA14" s="5">
        <v>18298673.326001979</v>
      </c>
      <c r="AB14" s="5">
        <v>6630892.8597551398</v>
      </c>
      <c r="AC14" s="5">
        <v>7694559.9632480806</v>
      </c>
      <c r="AD14" s="50">
        <f>VLOOKUP($Y14,Summary!$B$6:$H$8,7,FALSE)</f>
        <v>1</v>
      </c>
      <c r="AE14" s="5">
        <f t="shared" si="11"/>
        <v>18298673.326001979</v>
      </c>
      <c r="AF14" s="50">
        <f t="shared" si="8"/>
        <v>2.7596092582134855</v>
      </c>
      <c r="AG14" s="5">
        <f>VLOOKUP($Y14,Cost!$F$13:$G$15,2,FALSE)*Z14</f>
        <v>18055683.176266357</v>
      </c>
      <c r="AH14" s="50"/>
      <c r="AI14" s="302"/>
    </row>
    <row r="15" spans="1:49">
      <c r="A15" t="str">
        <f t="shared" si="0"/>
        <v>Office&lt;10</v>
      </c>
      <c r="B15" t="s">
        <v>50</v>
      </c>
      <c r="C15" s="2" t="s">
        <v>169</v>
      </c>
      <c r="D15" s="5">
        <v>15885.545475027151</v>
      </c>
      <c r="E15" s="5">
        <v>52271435.306865893</v>
      </c>
      <c r="F15" s="10">
        <f t="shared" si="1"/>
        <v>3290.5030166599649</v>
      </c>
      <c r="G15" s="302">
        <v>37165024.83911787</v>
      </c>
      <c r="H15">
        <f t="shared" si="9"/>
        <v>12</v>
      </c>
      <c r="I15" t="str">
        <f t="shared" si="2"/>
        <v>Office</v>
      </c>
      <c r="J15" t="str">
        <f>J12</f>
        <v>&lt;10</v>
      </c>
      <c r="K15" s="5">
        <f t="shared" si="3"/>
        <v>15885.545475027151</v>
      </c>
      <c r="L15" s="5">
        <f t="shared" si="4"/>
        <v>52271435.306865893</v>
      </c>
      <c r="M15" s="50">
        <f>VLOOKUP($J15,Summary!$B$6:$H$8,7,FALSE)</f>
        <v>1</v>
      </c>
      <c r="N15" s="5">
        <f t="shared" si="5"/>
        <v>52271435.306865893</v>
      </c>
      <c r="O15" s="5">
        <f>VLOOKUP($J15,Cost!$F$13:$G$15,2,FALSE)*K15</f>
        <v>53216577.341340959</v>
      </c>
      <c r="P15" s="303">
        <f t="shared" si="6"/>
        <v>1.4064684614941476</v>
      </c>
      <c r="Q15" s="5" t="s">
        <v>54</v>
      </c>
      <c r="R15" s="5">
        <v>442224054.00000012</v>
      </c>
      <c r="S15" s="5">
        <v>256327883.69656417</v>
      </c>
      <c r="T15" s="5">
        <v>256327883.69656417</v>
      </c>
      <c r="W15" s="5"/>
      <c r="X15" t="s">
        <v>727</v>
      </c>
      <c r="Y15" s="312" t="s">
        <v>169</v>
      </c>
      <c r="Z15" s="5">
        <v>442.0409267761828</v>
      </c>
      <c r="AA15" s="5">
        <v>1546899.2037303725</v>
      </c>
      <c r="AB15" s="5">
        <v>670071.55701555847</v>
      </c>
      <c r="AC15" s="5">
        <v>850953.86527492898</v>
      </c>
      <c r="AD15" s="50">
        <f>VLOOKUP($Y15,Summary!$B$6:$H$8,7,FALSE)</f>
        <v>1</v>
      </c>
      <c r="AE15" s="5">
        <f t="shared" si="11"/>
        <v>1546899.2037303725</v>
      </c>
      <c r="AF15" s="50">
        <f t="shared" si="8"/>
        <v>2.3085582241695639</v>
      </c>
      <c r="AG15" s="5">
        <f>VLOOKUP($Y15,Cost!$F$13:$G$15,2,FALSE)*Z15</f>
        <v>1480837.1047002124</v>
      </c>
      <c r="AH15" s="50"/>
      <c r="AI15" s="302"/>
    </row>
    <row r="16" spans="1:49">
      <c r="A16" t="str">
        <f t="shared" si="0"/>
        <v>Office10-15</v>
      </c>
      <c r="B16" t="s">
        <v>50</v>
      </c>
      <c r="C16" s="2" t="s">
        <v>171</v>
      </c>
      <c r="D16" s="5">
        <v>8317.2801105394719</v>
      </c>
      <c r="E16" s="5">
        <v>18738755.671169125</v>
      </c>
      <c r="F16" s="10">
        <f t="shared" si="1"/>
        <v>2252.9908121555018</v>
      </c>
      <c r="G16" s="302">
        <v>19715785.964664284</v>
      </c>
      <c r="H16">
        <f t="shared" si="9"/>
        <v>13</v>
      </c>
      <c r="I16" t="str">
        <f t="shared" si="2"/>
        <v>Office</v>
      </c>
      <c r="J16" t="str">
        <f t="shared" si="10"/>
        <v>&gt;15</v>
      </c>
      <c r="K16" s="5">
        <f t="shared" si="3"/>
        <v>4598.3880823234986</v>
      </c>
      <c r="L16" s="5">
        <f t="shared" si="4"/>
        <v>15192437.971254166</v>
      </c>
      <c r="M16" s="50">
        <f>VLOOKUP($J16,Summary!$B$6:$H$8,7,FALSE)</f>
        <v>4.2</v>
      </c>
      <c r="N16" s="5">
        <f t="shared" si="5"/>
        <v>63808239.4792675</v>
      </c>
      <c r="O16" s="5">
        <f>VLOOKUP($J16,Cost!$F$13:$G$15,2,FALSE)*K16</f>
        <v>22168828.944881588</v>
      </c>
      <c r="P16" s="303">
        <f t="shared" si="6"/>
        <v>3.8787827646476924</v>
      </c>
      <c r="Q16" s="5" t="s">
        <v>172</v>
      </c>
      <c r="R16" s="5">
        <v>3121530486.9999995</v>
      </c>
      <c r="S16" s="5">
        <v>3103336576.8745551</v>
      </c>
      <c r="T16" s="5">
        <v>2980366180.66991</v>
      </c>
      <c r="W16" s="5"/>
      <c r="Y16" s="312" t="s">
        <v>171</v>
      </c>
      <c r="Z16" s="5">
        <v>31.3255071523879</v>
      </c>
      <c r="AA16" s="5">
        <v>273659.63048326067</v>
      </c>
      <c r="AB16" s="5">
        <v>144857.59240041304</v>
      </c>
      <c r="AC16" s="5">
        <v>26480.088104565122</v>
      </c>
      <c r="AD16" s="50">
        <f>VLOOKUP($Y16,Summary!$B$6:$H$8,7,FALSE)</f>
        <v>1.8</v>
      </c>
      <c r="AE16" s="5">
        <f t="shared" si="11"/>
        <v>492587.33486986923</v>
      </c>
      <c r="AF16" s="50">
        <f>AE16/AB16</f>
        <v>3.4004937311692109</v>
      </c>
      <c r="AG16" s="5">
        <f>VLOOKUP($Y16,Cost!$F$13:$G$15,2,FALSE)*Z16</f>
        <v>133133.40539764857</v>
      </c>
      <c r="AH16" s="50"/>
      <c r="AI16" s="302"/>
    </row>
    <row r="17" spans="1:36">
      <c r="A17" t="str">
        <f t="shared" si="0"/>
        <v>Office&gt;15</v>
      </c>
      <c r="B17" t="s">
        <v>50</v>
      </c>
      <c r="C17" s="2" t="s">
        <v>170</v>
      </c>
      <c r="D17" s="5">
        <v>4598.3880823234986</v>
      </c>
      <c r="E17" s="5">
        <v>15192437.971254166</v>
      </c>
      <c r="F17" s="10">
        <f t="shared" si="1"/>
        <v>3303.8616357011888</v>
      </c>
      <c r="G17" s="302">
        <v>16450583.430666339</v>
      </c>
      <c r="H17">
        <f t="shared" si="9"/>
        <v>14</v>
      </c>
      <c r="I17" t="str">
        <f t="shared" si="2"/>
        <v>Office</v>
      </c>
      <c r="J17" t="str">
        <f t="shared" si="10"/>
        <v>10-15</v>
      </c>
      <c r="K17" s="5">
        <f t="shared" si="3"/>
        <v>8317.2801105394719</v>
      </c>
      <c r="L17" s="5">
        <f t="shared" si="4"/>
        <v>18738755.671169125</v>
      </c>
      <c r="M17" s="50">
        <f>VLOOKUP($J17,Summary!$B$6:$H$8,7,FALSE)</f>
        <v>1.8</v>
      </c>
      <c r="N17" s="5">
        <f t="shared" si="5"/>
        <v>33729760.208104424</v>
      </c>
      <c r="O17" s="5">
        <f>VLOOKUP($J17,Cost!$F$13:$G$15,2,FALSE)*K17</f>
        <v>35348440.469792753</v>
      </c>
      <c r="P17" s="303">
        <f t="shared" si="6"/>
        <v>1.7107996743602691</v>
      </c>
      <c r="W17" s="5"/>
      <c r="Y17" s="312" t="s">
        <v>170</v>
      </c>
      <c r="Z17" s="5">
        <v>507.56883444553358</v>
      </c>
      <c r="AA17" s="5">
        <v>2125698.3701693173</v>
      </c>
      <c r="AB17" s="5">
        <v>8727238.0439931825</v>
      </c>
      <c r="AC17" s="5">
        <v>3142880.5899592564</v>
      </c>
      <c r="AD17" s="50">
        <f>VLOOKUP($Y17,Summary!$B$6:$H$8,7,FALSE)</f>
        <v>4.2</v>
      </c>
      <c r="AE17" s="5">
        <f t="shared" si="11"/>
        <v>8927933.1547111329</v>
      </c>
      <c r="AF17" s="50">
        <f t="shared" si="8"/>
        <v>1.0229964061603758</v>
      </c>
      <c r="AG17" s="5">
        <f>VLOOKUP($Y17,Cost!$F$13:$G$15,2,FALSE)*Z17</f>
        <v>2446989.3508619172</v>
      </c>
      <c r="AH17" s="50"/>
      <c r="AI17" s="302"/>
    </row>
    <row r="18" spans="1:36" ht="15">
      <c r="A18" t="str">
        <f t="shared" si="0"/>
        <v>Other&lt;10</v>
      </c>
      <c r="B18" t="s">
        <v>55</v>
      </c>
      <c r="C18" s="2" t="s">
        <v>169</v>
      </c>
      <c r="D18" s="5">
        <v>2437.2394056470162</v>
      </c>
      <c r="E18" s="5">
        <v>11358501.376871206</v>
      </c>
      <c r="F18" s="10">
        <f t="shared" si="1"/>
        <v>4660.396246078195</v>
      </c>
      <c r="G18" s="302">
        <v>5933833.3916674787</v>
      </c>
      <c r="H18">
        <f t="shared" si="9"/>
        <v>15</v>
      </c>
      <c r="I18" t="str">
        <f t="shared" si="2"/>
        <v>Other</v>
      </c>
      <c r="J18" t="str">
        <f>J15</f>
        <v>&lt;10</v>
      </c>
      <c r="K18" s="5">
        <f t="shared" si="3"/>
        <v>2437.2394056470162</v>
      </c>
      <c r="L18" s="5">
        <f t="shared" si="4"/>
        <v>11358501.376871206</v>
      </c>
      <c r="M18" s="50">
        <f>VLOOKUP($J18,Summary!$B$6:$H$8,7,FALSE)</f>
        <v>1</v>
      </c>
      <c r="N18" s="5">
        <f t="shared" si="5"/>
        <v>11358501.376871206</v>
      </c>
      <c r="O18" s="5">
        <f>VLOOKUP($J18,Cost!$F$13:$G$15,2,FALSE)*K18</f>
        <v>8164752.008917504</v>
      </c>
      <c r="P18" s="303">
        <f t="shared" si="6"/>
        <v>1.9141928374364636</v>
      </c>
      <c r="X18" t="s">
        <v>172</v>
      </c>
      <c r="Y18" s="5"/>
      <c r="Z18" s="5">
        <v>35966.183056625647</v>
      </c>
      <c r="AA18" s="5">
        <v>107115347.72879168</v>
      </c>
      <c r="AB18" s="5">
        <v>71229175.052361608</v>
      </c>
      <c r="AC18" s="5">
        <v>73331394.234448478</v>
      </c>
      <c r="AD18" s="50"/>
      <c r="AG18" s="5"/>
      <c r="AH18" s="2" t="s">
        <v>355</v>
      </c>
      <c r="AI18" s="321"/>
      <c r="AJ18" t="s">
        <v>740</v>
      </c>
    </row>
    <row r="19" spans="1:36">
      <c r="A19" t="str">
        <f t="shared" si="0"/>
        <v>Other10-15</v>
      </c>
      <c r="B19" t="s">
        <v>55</v>
      </c>
      <c r="C19" s="2" t="s">
        <v>171</v>
      </c>
      <c r="D19" s="5">
        <v>1902.4772138231642</v>
      </c>
      <c r="E19" s="5">
        <v>6750251.0778570622</v>
      </c>
      <c r="F19" s="10">
        <f t="shared" si="1"/>
        <v>3548.1376748223697</v>
      </c>
      <c r="G19" s="302">
        <v>5984853.1607423369</v>
      </c>
      <c r="H19">
        <f t="shared" si="9"/>
        <v>16</v>
      </c>
      <c r="I19" t="str">
        <f t="shared" si="2"/>
        <v>Other</v>
      </c>
      <c r="J19" t="str">
        <f t="shared" si="10"/>
        <v>&gt;15</v>
      </c>
      <c r="K19" s="5">
        <f t="shared" si="3"/>
        <v>1243.3934441312849</v>
      </c>
      <c r="L19" s="5">
        <f t="shared" si="4"/>
        <v>5614329.2902556434</v>
      </c>
      <c r="M19" s="50">
        <f>VLOOKUP($J19,Summary!$B$6:$H$8,7,FALSE)</f>
        <v>4.2</v>
      </c>
      <c r="N19" s="5">
        <f t="shared" si="5"/>
        <v>23580183.019073702</v>
      </c>
      <c r="O19" s="5">
        <f>VLOOKUP($J19,Cost!$F$13:$G$15,2,FALSE)*K19</f>
        <v>5994399.7941569248</v>
      </c>
      <c r="P19" s="303">
        <f t="shared" si="6"/>
        <v>5.2865244228426116</v>
      </c>
      <c r="X19" s="313" t="s">
        <v>293</v>
      </c>
      <c r="Y19" s="314" t="s">
        <v>731</v>
      </c>
      <c r="Z19" s="302">
        <f>SUM(Z14:Z17)</f>
        <v>6370.6914403939127</v>
      </c>
      <c r="AA19" s="302">
        <f t="shared" ref="AA19:AC19" si="12">SUM(AA14:AA17)</f>
        <v>22244930.530384928</v>
      </c>
      <c r="AB19" s="302">
        <f t="shared" si="12"/>
        <v>16173060.053164294</v>
      </c>
      <c r="AC19" s="302">
        <f t="shared" si="12"/>
        <v>11714874.506586831</v>
      </c>
      <c r="AE19" s="302">
        <f>SUM(AE14:AE17)</f>
        <v>29266093.01931335</v>
      </c>
      <c r="AF19" s="50">
        <f>AE19/AC19</f>
        <v>2.4981994474510274</v>
      </c>
      <c r="AG19" s="302">
        <f>SUM(AG14:AG17)</f>
        <v>22116643.037226137</v>
      </c>
      <c r="AH19" s="50">
        <f>AG19/AI19</f>
        <v>8.6958816167838432E-2</v>
      </c>
      <c r="AI19" s="302">
        <f>AM12+AM9</f>
        <v>254334684.070894</v>
      </c>
      <c r="AJ19" s="50">
        <f>AE19/AI19</f>
        <v>0.11506921726474252</v>
      </c>
    </row>
    <row r="20" spans="1:36">
      <c r="A20" t="str">
        <f t="shared" si="0"/>
        <v>Other&gt;15</v>
      </c>
      <c r="B20" t="s">
        <v>55</v>
      </c>
      <c r="C20" s="2" t="s">
        <v>170</v>
      </c>
      <c r="D20" s="5">
        <v>1243.3934441312849</v>
      </c>
      <c r="E20" s="5">
        <v>5614329.2902556434</v>
      </c>
      <c r="F20" s="10">
        <f t="shared" si="1"/>
        <v>4515.328045804662</v>
      </c>
      <c r="G20" s="302">
        <v>4460432.0595183074</v>
      </c>
      <c r="H20">
        <f t="shared" si="9"/>
        <v>17</v>
      </c>
      <c r="I20" t="str">
        <f t="shared" si="2"/>
        <v>Other</v>
      </c>
      <c r="J20" t="str">
        <f t="shared" si="10"/>
        <v>10-15</v>
      </c>
      <c r="K20" s="5">
        <f t="shared" si="3"/>
        <v>1902.4772138231642</v>
      </c>
      <c r="L20" s="5">
        <f t="shared" si="4"/>
        <v>6750251.0778570622</v>
      </c>
      <c r="M20" s="50">
        <f>VLOOKUP($J20,Summary!$B$6:$H$8,7,FALSE)</f>
        <v>1.8</v>
      </c>
      <c r="N20" s="5">
        <f t="shared" si="5"/>
        <v>12150451.940142712</v>
      </c>
      <c r="O20" s="5">
        <f>VLOOKUP($J20,Cost!$F$13:$G$15,2,FALSE)*K20</f>
        <v>8085528.1587484479</v>
      </c>
      <c r="P20" s="303">
        <f t="shared" si="6"/>
        <v>2.0302005101551428</v>
      </c>
      <c r="X20" s="315" t="s">
        <v>294</v>
      </c>
      <c r="Y20" s="316" t="s">
        <v>732</v>
      </c>
      <c r="Z20" s="302">
        <f>SUM(Z8:Z13)</f>
        <v>24387.415547340224</v>
      </c>
      <c r="AA20" s="302">
        <f t="shared" ref="AA20:AC20" si="13">SUM(AA8:AA13)</f>
        <v>69609060.856411427</v>
      </c>
      <c r="AB20" s="302">
        <f t="shared" si="13"/>
        <v>42423106.855977409</v>
      </c>
      <c r="AC20" s="302">
        <f t="shared" si="13"/>
        <v>48983511.584641747</v>
      </c>
      <c r="AE20" s="302">
        <f>SUM(AE8:AE13)</f>
        <v>114293612.55176516</v>
      </c>
      <c r="AF20" s="50">
        <f>AE20/AC20</f>
        <v>2.3333078592021708</v>
      </c>
      <c r="AG20" s="302">
        <f>SUM(AG8:AG13)</f>
        <v>93528957.171473503</v>
      </c>
      <c r="AH20" s="50">
        <f t="shared" ref="AH20:AH21" si="14">AG20/AI20</f>
        <v>0.31606351396005627</v>
      </c>
      <c r="AI20" s="302">
        <f>AM11+AM10</f>
        <v>295918234.91304213</v>
      </c>
      <c r="AJ20" s="50">
        <f>AE20/AI20</f>
        <v>0.38623376009711341</v>
      </c>
    </row>
    <row r="21" spans="1:36">
      <c r="A21" t="str">
        <f t="shared" si="0"/>
        <v>Residential Care&lt;10</v>
      </c>
      <c r="B21" t="s">
        <v>51</v>
      </c>
      <c r="C21" s="2" t="s">
        <v>169</v>
      </c>
      <c r="D21" s="5">
        <v>5628.4926383548236</v>
      </c>
      <c r="E21" s="5">
        <v>47713060.558886111</v>
      </c>
      <c r="F21" s="10">
        <f t="shared" si="1"/>
        <v>8477.0583572855776</v>
      </c>
      <c r="G21" s="302">
        <v>7546365.5019280026</v>
      </c>
      <c r="H21">
        <f t="shared" si="9"/>
        <v>18</v>
      </c>
      <c r="I21" t="str">
        <f t="shared" si="2"/>
        <v>Residential Care</v>
      </c>
      <c r="J21" t="str">
        <f>J18</f>
        <v>&lt;10</v>
      </c>
      <c r="K21" s="5">
        <f t="shared" si="3"/>
        <v>5628.4926383548236</v>
      </c>
      <c r="L21" s="5">
        <f t="shared" si="4"/>
        <v>47713060.558886111</v>
      </c>
      <c r="M21" s="50">
        <f>VLOOKUP($J21,Summary!$B$6:$H$8,7,FALSE)</f>
        <v>1</v>
      </c>
      <c r="N21" s="5">
        <f t="shared" si="5"/>
        <v>47713060.558886111</v>
      </c>
      <c r="O21" s="5">
        <f>VLOOKUP($J21,Cost!$F$13:$G$15,2,FALSE)*K21</f>
        <v>18855450.338488661</v>
      </c>
      <c r="P21" s="303">
        <f t="shared" si="6"/>
        <v>6.3226543356130867</v>
      </c>
      <c r="X21" s="317" t="s">
        <v>295</v>
      </c>
      <c r="Y21" s="316" t="s">
        <v>733</v>
      </c>
      <c r="Z21" s="302">
        <f>SUM(Z6:Z7)</f>
        <v>5208.0760688915116</v>
      </c>
      <c r="AA21" s="302">
        <f t="shared" ref="AA21:AC21" si="15">SUM(AA6:AA7)</f>
        <v>15261356.341995344</v>
      </c>
      <c r="AB21" s="302">
        <f t="shared" si="15"/>
        <v>12633008.143219903</v>
      </c>
      <c r="AC21" s="302">
        <f t="shared" si="15"/>
        <v>12633008.143219903</v>
      </c>
      <c r="AE21" s="302">
        <f>SUM(AE6:AE7)</f>
        <v>25302743.99332599</v>
      </c>
      <c r="AF21" s="50">
        <f t="shared" ref="AF21:AF22" si="16">AE21/AC21</f>
        <v>2.0029072811851147</v>
      </c>
      <c r="AG21" s="302">
        <f>SUM(AG6:AG7)</f>
        <v>19090893.999579675</v>
      </c>
      <c r="AH21" s="50">
        <f t="shared" si="14"/>
        <v>0.19999195139965231</v>
      </c>
      <c r="AI21" s="302">
        <f>AM8</f>
        <v>95458311.526895106</v>
      </c>
      <c r="AJ21" s="50">
        <f>AE21/AI21</f>
        <v>0.26506590770984895</v>
      </c>
    </row>
    <row r="22" spans="1:36">
      <c r="A22" t="str">
        <f t="shared" si="0"/>
        <v>Residential Care10-15</v>
      </c>
      <c r="B22" t="s">
        <v>51</v>
      </c>
      <c r="C22" s="2" t="s">
        <v>171</v>
      </c>
      <c r="D22" s="5">
        <v>1158.078742834502</v>
      </c>
      <c r="E22" s="5">
        <v>9750616.3704657927</v>
      </c>
      <c r="F22" s="10">
        <f t="shared" si="1"/>
        <v>8419.6488630818676</v>
      </c>
      <c r="G22" s="302">
        <v>3292395.9151586718</v>
      </c>
      <c r="H22">
        <f t="shared" si="9"/>
        <v>19</v>
      </c>
      <c r="I22" t="str">
        <f t="shared" si="2"/>
        <v>Residential Care</v>
      </c>
      <c r="J22" t="str">
        <f t="shared" si="10"/>
        <v>&gt;15</v>
      </c>
      <c r="K22" s="5">
        <f t="shared" si="3"/>
        <v>649.85300709727733</v>
      </c>
      <c r="L22" s="5">
        <f t="shared" si="4"/>
        <v>5495103.5155817959</v>
      </c>
      <c r="M22" s="50">
        <f>VLOOKUP($J22,Summary!$B$6:$H$8,7,FALSE)</f>
        <v>4.2</v>
      </c>
      <c r="N22" s="5">
        <f t="shared" si="5"/>
        <v>23079434.765443545</v>
      </c>
      <c r="O22" s="5">
        <f>VLOOKUP($J22,Cost!$F$13:$G$15,2,FALSE)*K22</f>
        <v>3132941.3472159738</v>
      </c>
      <c r="P22" s="303">
        <f t="shared" si="6"/>
        <v>6.2702707613262492</v>
      </c>
      <c r="Z22" s="302">
        <f>SUM(Z19:Z21)</f>
        <v>35966.183056625647</v>
      </c>
      <c r="AA22" s="302">
        <f>SUM(AA19:AA21)</f>
        <v>107115347.7287917</v>
      </c>
      <c r="AB22" s="302">
        <f>SUM(AB19:AB21)</f>
        <v>71229175.052361608</v>
      </c>
      <c r="AC22" s="5">
        <f>SUM(AC19:AC21)</f>
        <v>73331394.234448478</v>
      </c>
      <c r="AE22" s="318">
        <f>SUM(AE19:AE21)</f>
        <v>168862449.56440449</v>
      </c>
      <c r="AF22" s="50">
        <f t="shared" si="16"/>
        <v>2.3027306561843459</v>
      </c>
      <c r="AG22" s="5"/>
      <c r="AH22" s="50"/>
      <c r="AI22" s="5">
        <f>SUM(AI19:AI21)</f>
        <v>645711230.51083112</v>
      </c>
    </row>
    <row r="23" spans="1:36">
      <c r="A23" t="str">
        <f t="shared" si="0"/>
        <v>Residential Care&gt;15</v>
      </c>
      <c r="B23" t="s">
        <v>51</v>
      </c>
      <c r="C23" s="2" t="s">
        <v>170</v>
      </c>
      <c r="D23" s="5">
        <v>649.85300709727733</v>
      </c>
      <c r="E23" s="5">
        <v>5495103.5155817959</v>
      </c>
      <c r="F23" s="10">
        <f t="shared" si="1"/>
        <v>8455.9176545584978</v>
      </c>
      <c r="G23" s="302">
        <v>3680771.6355396947</v>
      </c>
      <c r="H23">
        <f t="shared" si="9"/>
        <v>20</v>
      </c>
      <c r="I23" t="str">
        <f t="shared" si="2"/>
        <v>Residential Care</v>
      </c>
      <c r="J23" t="str">
        <f t="shared" si="10"/>
        <v>10-15</v>
      </c>
      <c r="K23" s="5">
        <f t="shared" si="3"/>
        <v>1158.078742834502</v>
      </c>
      <c r="L23" s="5">
        <f t="shared" si="4"/>
        <v>9750616.3704657927</v>
      </c>
      <c r="M23" s="50">
        <f>VLOOKUP($J23,Summary!$B$6:$H$8,7,FALSE)</f>
        <v>1.8</v>
      </c>
      <c r="N23" s="5">
        <f t="shared" si="5"/>
        <v>17551109.466838427</v>
      </c>
      <c r="O23" s="5">
        <f>VLOOKUP($J23,Cost!$F$13:$G$15,2,FALSE)*K23</f>
        <v>4921834.6570466338</v>
      </c>
      <c r="P23" s="303">
        <f t="shared" si="6"/>
        <v>5.3308016165463439</v>
      </c>
      <c r="AF23" s="50">
        <f>SUMPRODUCT(AF19:AF21,AC19:AC21)/SUM(AC19:AC21)</f>
        <v>2.3027306561843459</v>
      </c>
      <c r="AG23" s="50"/>
      <c r="AH23" s="50"/>
    </row>
    <row r="24" spans="1:36">
      <c r="A24" t="str">
        <f t="shared" si="0"/>
        <v>Restaurant&lt;10</v>
      </c>
      <c r="B24" t="s">
        <v>302</v>
      </c>
      <c r="C24" s="2" t="s">
        <v>169</v>
      </c>
      <c r="D24" s="5">
        <v>3856.0320529253413</v>
      </c>
      <c r="E24" s="5">
        <v>24581158.238708831</v>
      </c>
      <c r="F24" s="10">
        <f t="shared" si="1"/>
        <v>6374.7287111009809</v>
      </c>
      <c r="G24" s="302">
        <v>5396043.031945195</v>
      </c>
      <c r="H24">
        <f t="shared" si="9"/>
        <v>21</v>
      </c>
      <c r="I24" t="str">
        <f t="shared" si="2"/>
        <v>Restaurant</v>
      </c>
      <c r="J24" t="str">
        <f>J21</f>
        <v>&lt;10</v>
      </c>
      <c r="K24" s="5">
        <f t="shared" si="3"/>
        <v>3856.0320529253413</v>
      </c>
      <c r="L24" s="5">
        <f t="shared" si="4"/>
        <v>24581158.238708831</v>
      </c>
      <c r="M24" s="50">
        <f>VLOOKUP($J24,Summary!$B$6:$H$8,7,FALSE)</f>
        <v>1</v>
      </c>
      <c r="N24" s="5">
        <f t="shared" si="5"/>
        <v>24581158.238708831</v>
      </c>
      <c r="O24" s="5">
        <f>VLOOKUP($J24,Cost!$F$13:$G$15,2,FALSE)*K24</f>
        <v>12917707.377299894</v>
      </c>
      <c r="P24" s="303">
        <f t="shared" si="6"/>
        <v>4.5554044126752791</v>
      </c>
      <c r="X24" s="361" t="s">
        <v>764</v>
      </c>
    </row>
    <row r="25" spans="1:36">
      <c r="A25" t="str">
        <f t="shared" si="0"/>
        <v>Restaurant10-15</v>
      </c>
      <c r="B25" t="s">
        <v>302</v>
      </c>
      <c r="C25" s="2" t="s">
        <v>171</v>
      </c>
      <c r="D25" s="5">
        <v>4257.1968527530853</v>
      </c>
      <c r="E25" s="5">
        <v>24269674.73284322</v>
      </c>
      <c r="F25" s="10">
        <f t="shared" si="1"/>
        <v>5700.8579993542635</v>
      </c>
      <c r="G25" s="302">
        <v>4336377.9383426504</v>
      </c>
      <c r="H25">
        <f t="shared" si="9"/>
        <v>22</v>
      </c>
      <c r="I25" t="str">
        <f t="shared" si="2"/>
        <v>Restaurant</v>
      </c>
      <c r="J25" t="str">
        <f t="shared" si="10"/>
        <v>&gt;15</v>
      </c>
      <c r="K25" s="5">
        <f t="shared" si="3"/>
        <v>1623.6639432079501</v>
      </c>
      <c r="L25" s="5">
        <f t="shared" si="4"/>
        <v>9082149.9576811437</v>
      </c>
      <c r="M25" s="50">
        <f>VLOOKUP($J25,Summary!$B$6:$H$8,7,FALSE)</f>
        <v>4.2</v>
      </c>
      <c r="N25" s="5">
        <f t="shared" si="5"/>
        <v>38145029.822260804</v>
      </c>
      <c r="O25" s="5">
        <f>VLOOKUP($J25,Cost!$F$13:$G$15,2,FALSE)*K25</f>
        <v>7827683.8702055272</v>
      </c>
      <c r="P25" s="303">
        <f t="shared" si="6"/>
        <v>3.5818598449705572</v>
      </c>
      <c r="X25" t="s">
        <v>428</v>
      </c>
      <c r="Y25" s="5" t="s">
        <v>429</v>
      </c>
      <c r="Z25" s="5"/>
      <c r="AA25" s="5"/>
      <c r="AB25" s="5"/>
      <c r="AC25" s="319">
        <v>168862449.56440449</v>
      </c>
      <c r="AD25">
        <v>73331394.234448493</v>
      </c>
    </row>
    <row r="26" spans="1:36">
      <c r="A26" t="str">
        <f t="shared" si="0"/>
        <v>Restaurant&gt;15</v>
      </c>
      <c r="B26" t="s">
        <v>302</v>
      </c>
      <c r="C26" s="2" t="s">
        <v>170</v>
      </c>
      <c r="D26" s="5">
        <v>1623.6639432079501</v>
      </c>
      <c r="E26" s="5">
        <v>9082149.9576811437</v>
      </c>
      <c r="F26" s="10">
        <f t="shared" si="1"/>
        <v>5593.6143656285849</v>
      </c>
      <c r="G26" s="302">
        <v>10649503.741979707</v>
      </c>
      <c r="H26">
        <f t="shared" si="9"/>
        <v>23</v>
      </c>
      <c r="I26" t="str">
        <f t="shared" si="2"/>
        <v>Restaurant</v>
      </c>
      <c r="J26" t="str">
        <f t="shared" si="10"/>
        <v>10-15</v>
      </c>
      <c r="K26" s="5">
        <f t="shared" si="3"/>
        <v>4257.1968527530853</v>
      </c>
      <c r="L26" s="5">
        <f t="shared" si="4"/>
        <v>24269674.73284322</v>
      </c>
      <c r="M26" s="50">
        <f>VLOOKUP($J26,Summary!$B$6:$H$8,7,FALSE)</f>
        <v>1.8</v>
      </c>
      <c r="N26" s="5">
        <f t="shared" si="5"/>
        <v>43685414.519117795</v>
      </c>
      <c r="O26" s="5">
        <f>VLOOKUP($J26,Cost!$F$13:$G$15,2,FALSE)*K26</f>
        <v>18093086.624200612</v>
      </c>
      <c r="P26" s="303">
        <f t="shared" si="6"/>
        <v>10.074171379954539</v>
      </c>
      <c r="X26" t="s">
        <v>440</v>
      </c>
      <c r="Y26" s="5" t="s">
        <v>438</v>
      </c>
      <c r="Z26" s="5"/>
      <c r="AA26" s="5"/>
      <c r="AB26" s="5"/>
    </row>
    <row r="27" spans="1:36">
      <c r="A27" t="str">
        <f t="shared" si="0"/>
        <v>Retail/Service&lt;10</v>
      </c>
      <c r="B27" t="s">
        <v>313</v>
      </c>
      <c r="C27" s="2" t="s">
        <v>169</v>
      </c>
      <c r="D27" s="5">
        <v>4876.5344159509477</v>
      </c>
      <c r="E27" s="5">
        <v>18779827.128025189</v>
      </c>
      <c r="F27" s="10">
        <f t="shared" si="1"/>
        <v>3851.0601025591309</v>
      </c>
      <c r="G27" s="302">
        <v>10309654.869578283</v>
      </c>
      <c r="H27">
        <f t="shared" si="9"/>
        <v>24</v>
      </c>
      <c r="I27" t="str">
        <f t="shared" si="2"/>
        <v>Retail/Service</v>
      </c>
      <c r="J27" t="str">
        <f>J24</f>
        <v>&lt;10</v>
      </c>
      <c r="K27" s="5">
        <f t="shared" si="3"/>
        <v>4876.5344159509477</v>
      </c>
      <c r="L27" s="5">
        <f t="shared" si="4"/>
        <v>18779827.128025189</v>
      </c>
      <c r="M27" s="50">
        <f>VLOOKUP($J27,Summary!$B$6:$H$8,7,FALSE)</f>
        <v>1</v>
      </c>
      <c r="N27" s="5">
        <f t="shared" si="5"/>
        <v>18779827.128025189</v>
      </c>
      <c r="O27" s="5">
        <f>VLOOKUP($J27,Cost!$F$13:$G$15,2,FALSE)*K27</f>
        <v>16336390.293435674</v>
      </c>
      <c r="P27" s="303">
        <f t="shared" si="6"/>
        <v>1.82157670315819</v>
      </c>
      <c r="X27" t="s">
        <v>430</v>
      </c>
      <c r="Y27" s="5" t="s">
        <v>429</v>
      </c>
      <c r="Z27" s="5"/>
      <c r="AA27" s="5"/>
      <c r="AB27" s="5"/>
    </row>
    <row r="28" spans="1:36">
      <c r="A28" t="str">
        <f t="shared" si="0"/>
        <v>Retail/Service10-15</v>
      </c>
      <c r="B28" t="s">
        <v>313</v>
      </c>
      <c r="C28" s="2" t="s">
        <v>171</v>
      </c>
      <c r="D28" s="5">
        <v>1002.4651345201123</v>
      </c>
      <c r="E28" s="5">
        <v>6979123.9503124394</v>
      </c>
      <c r="F28" s="10">
        <f t="shared" si="1"/>
        <v>6961.9617780057752</v>
      </c>
      <c r="G28" s="302">
        <v>63296936.85482128</v>
      </c>
      <c r="H28">
        <f t="shared" si="9"/>
        <v>25</v>
      </c>
      <c r="I28" t="str">
        <f t="shared" si="2"/>
        <v>Retail/Service</v>
      </c>
      <c r="J28" t="str">
        <f t="shared" si="10"/>
        <v>&gt;15</v>
      </c>
      <c r="K28" s="5">
        <f t="shared" si="3"/>
        <v>8954.9773888996078</v>
      </c>
      <c r="L28" s="5">
        <f t="shared" si="4"/>
        <v>55776884.426954933</v>
      </c>
      <c r="M28" s="50">
        <f>VLOOKUP($J28,Summary!$B$6:$H$8,7,FALSE)</f>
        <v>4.2</v>
      </c>
      <c r="N28" s="5">
        <f t="shared" si="5"/>
        <v>234262914.59321073</v>
      </c>
      <c r="O28" s="5">
        <f>VLOOKUP($J28,Cost!$F$13:$G$15,2,FALSE)*K28</f>
        <v>43171945.991885006</v>
      </c>
      <c r="P28" s="303">
        <f t="shared" si="6"/>
        <v>82.109615611178725</v>
      </c>
      <c r="X28" t="s">
        <v>432</v>
      </c>
      <c r="Y28" s="5" t="s">
        <v>433</v>
      </c>
      <c r="Z28" s="5"/>
      <c r="AA28" t="s">
        <v>759</v>
      </c>
      <c r="AB28" s="5"/>
    </row>
    <row r="29" spans="1:36">
      <c r="A29" t="str">
        <f t="shared" si="0"/>
        <v>Retail/Service&gt;15</v>
      </c>
      <c r="B29" t="s">
        <v>313</v>
      </c>
      <c r="C29" s="2" t="s">
        <v>170</v>
      </c>
      <c r="D29" s="5">
        <v>8954.9773888996078</v>
      </c>
      <c r="E29" s="5">
        <v>55776884.426954933</v>
      </c>
      <c r="F29" s="10">
        <f t="shared" si="1"/>
        <v>6228.5902023711114</v>
      </c>
      <c r="G29" s="302">
        <v>2853050.9228363414</v>
      </c>
      <c r="H29">
        <f t="shared" si="9"/>
        <v>26</v>
      </c>
      <c r="I29" t="str">
        <f t="shared" si="2"/>
        <v>Retail/Service</v>
      </c>
      <c r="J29" t="str">
        <f t="shared" si="10"/>
        <v>10-15</v>
      </c>
      <c r="K29" s="5">
        <f t="shared" si="3"/>
        <v>1002.4651345201123</v>
      </c>
      <c r="L29" s="5">
        <f t="shared" si="4"/>
        <v>6979123.9503124394</v>
      </c>
      <c r="M29" s="50">
        <f>VLOOKUP($J29,Summary!$B$6:$H$8,7,FALSE)</f>
        <v>1.8</v>
      </c>
      <c r="N29" s="5">
        <f t="shared" si="5"/>
        <v>12562423.110562392</v>
      </c>
      <c r="O29" s="5">
        <f>VLOOKUP($J29,Cost!$F$13:$G$15,2,FALSE)*K29</f>
        <v>4260476.8217104776</v>
      </c>
      <c r="P29" s="303">
        <f t="shared" si="6"/>
        <v>0.19846810501076437</v>
      </c>
      <c r="X29" t="s">
        <v>335</v>
      </c>
      <c r="Y29" s="311" t="s">
        <v>313</v>
      </c>
      <c r="Z29" s="5"/>
      <c r="AA29" s="5"/>
      <c r="AB29" s="5"/>
    </row>
    <row r="30" spans="1:36">
      <c r="A30" t="str">
        <f t="shared" si="0"/>
        <v>School K-12&lt;10</v>
      </c>
      <c r="B30" t="s">
        <v>314</v>
      </c>
      <c r="C30" s="2" t="s">
        <v>169</v>
      </c>
      <c r="D30" s="5">
        <v>5713.2901336685109</v>
      </c>
      <c r="E30" s="5">
        <v>20226513.011862233</v>
      </c>
      <c r="F30" s="10">
        <f t="shared" si="1"/>
        <v>3540.2565839720037</v>
      </c>
      <c r="G30" s="302">
        <v>9230655.2586798854</v>
      </c>
      <c r="H30">
        <f t="shared" si="9"/>
        <v>27</v>
      </c>
      <c r="I30" t="str">
        <f t="shared" si="2"/>
        <v>School K-12</v>
      </c>
      <c r="J30" t="str">
        <f>J27</f>
        <v>&lt;10</v>
      </c>
      <c r="K30" s="5">
        <f t="shared" si="3"/>
        <v>5713.2901336685109</v>
      </c>
      <c r="L30" s="5">
        <f t="shared" si="4"/>
        <v>20226513.011862233</v>
      </c>
      <c r="M30" s="50">
        <f>VLOOKUP($J30,Summary!$B$6:$H$8,7,FALSE)</f>
        <v>1</v>
      </c>
      <c r="N30" s="5">
        <f t="shared" ref="N30:N35" si="17">M30*L30</f>
        <v>20226513.011862233</v>
      </c>
      <c r="O30" s="5">
        <f>VLOOKUP($J30,Cost!$F$13:$G$15,2,FALSE)*K30</f>
        <v>19139521.947789513</v>
      </c>
      <c r="P30" s="303">
        <f t="shared" si="6"/>
        <v>2.191232631382543</v>
      </c>
    </row>
    <row r="31" spans="1:36">
      <c r="A31" t="str">
        <f t="shared" si="0"/>
        <v>School K-1210-15</v>
      </c>
      <c r="B31" t="s">
        <v>314</v>
      </c>
      <c r="C31" s="2" t="s">
        <v>171</v>
      </c>
      <c r="D31" s="5">
        <v>661.17284655318451</v>
      </c>
      <c r="E31" s="5">
        <v>1460543.8133113163</v>
      </c>
      <c r="F31" s="10">
        <f t="shared" si="1"/>
        <v>2209.0196548835897</v>
      </c>
      <c r="G31" s="302">
        <v>3714356.2772344137</v>
      </c>
      <c r="H31">
        <f t="shared" si="9"/>
        <v>28</v>
      </c>
      <c r="I31" t="str">
        <f t="shared" si="2"/>
        <v>School K-12</v>
      </c>
      <c r="J31" t="str">
        <f t="shared" si="10"/>
        <v>&gt;15</v>
      </c>
      <c r="K31" s="5">
        <f t="shared" si="3"/>
        <v>259.15901427445402</v>
      </c>
      <c r="L31" s="5">
        <f t="shared" si="4"/>
        <v>757386.94980885729</v>
      </c>
      <c r="M31" s="50">
        <f>VLOOKUP($J31,Summary!$B$6:$H$8,7,FALSE)</f>
        <v>4.2</v>
      </c>
      <c r="N31" s="5">
        <f t="shared" si="17"/>
        <v>3181025.1891972008</v>
      </c>
      <c r="O31" s="5">
        <f>VLOOKUP($J31,Cost!$F$13:$G$15,2,FALSE)*K31</f>
        <v>1249405.6078171427</v>
      </c>
      <c r="P31" s="303">
        <f t="shared" si="6"/>
        <v>1.1433378384910959</v>
      </c>
      <c r="Z31" t="s">
        <v>311</v>
      </c>
      <c r="AD31" t="s">
        <v>43</v>
      </c>
      <c r="AE31" t="s">
        <v>43</v>
      </c>
    </row>
    <row r="32" spans="1:36" ht="15">
      <c r="A32" t="str">
        <f t="shared" si="0"/>
        <v>School K-12&gt;15</v>
      </c>
      <c r="B32" t="s">
        <v>314</v>
      </c>
      <c r="C32" s="2" t="s">
        <v>170</v>
      </c>
      <c r="D32" s="5">
        <v>259.15901427445402</v>
      </c>
      <c r="E32" s="5">
        <v>757386.94980885729</v>
      </c>
      <c r="F32" s="10">
        <f t="shared" si="1"/>
        <v>2922.479667277832</v>
      </c>
      <c r="G32" s="302">
        <v>2782226.8118015882</v>
      </c>
      <c r="H32">
        <f t="shared" si="9"/>
        <v>29</v>
      </c>
      <c r="I32" t="str">
        <f t="shared" si="2"/>
        <v>School K-12</v>
      </c>
      <c r="J32" t="str">
        <f t="shared" si="10"/>
        <v>10-15</v>
      </c>
      <c r="K32" s="5">
        <f t="shared" si="3"/>
        <v>661.17284655318451</v>
      </c>
      <c r="L32" s="5">
        <f t="shared" si="4"/>
        <v>1460543.8133113163</v>
      </c>
      <c r="M32" s="50">
        <f>VLOOKUP($J32,Summary!$B$6:$H$8,7,FALSE)</f>
        <v>1.8</v>
      </c>
      <c r="N32" s="5">
        <f t="shared" si="17"/>
        <v>2628978.8639603695</v>
      </c>
      <c r="O32" s="5">
        <f>VLOOKUP($J32,Cost!$F$13:$G$15,2,FALSE)*K32</f>
        <v>2809984.5978510343</v>
      </c>
      <c r="P32" s="303">
        <f t="shared" si="6"/>
        <v>0.70778855546884156</v>
      </c>
      <c r="X32" t="s">
        <v>312</v>
      </c>
      <c r="Y32" t="s">
        <v>166</v>
      </c>
      <c r="Z32" t="s">
        <v>434</v>
      </c>
      <c r="AA32" t="s">
        <v>435</v>
      </c>
      <c r="AB32" t="s">
        <v>437</v>
      </c>
      <c r="AC32" t="s">
        <v>436</v>
      </c>
      <c r="AD32" t="s">
        <v>753</v>
      </c>
      <c r="AE32" t="s">
        <v>709</v>
      </c>
      <c r="AG32" s="320" t="s">
        <v>734</v>
      </c>
      <c r="AH32" s="2" t="s">
        <v>16</v>
      </c>
      <c r="AI32" s="2" t="s">
        <v>760</v>
      </c>
    </row>
    <row r="33" spans="1:40">
      <c r="A33" t="str">
        <f t="shared" si="0"/>
        <v>Warehouse&lt;10</v>
      </c>
      <c r="B33" t="s">
        <v>54</v>
      </c>
      <c r="C33" s="2" t="s">
        <v>169</v>
      </c>
      <c r="D33" s="5">
        <v>3652.775506327122</v>
      </c>
      <c r="E33" s="5">
        <v>13789880.648235217</v>
      </c>
      <c r="F33" s="10">
        <f t="shared" si="1"/>
        <v>3775.1787987926441</v>
      </c>
      <c r="G33" s="302">
        <v>6275626.5363307297</v>
      </c>
      <c r="H33">
        <f t="shared" si="9"/>
        <v>30</v>
      </c>
      <c r="I33" t="str">
        <f t="shared" si="2"/>
        <v>Warehouse</v>
      </c>
      <c r="J33" t="str">
        <f>J30</f>
        <v>&lt;10</v>
      </c>
      <c r="K33" s="5">
        <f t="shared" si="3"/>
        <v>3652.775506327122</v>
      </c>
      <c r="L33" s="5">
        <f t="shared" si="4"/>
        <v>13789880.648235217</v>
      </c>
      <c r="M33" s="50">
        <f>VLOOKUP($J33,Summary!$B$6:$H$8,7,FALSE)</f>
        <v>1</v>
      </c>
      <c r="N33" s="5">
        <f t="shared" si="17"/>
        <v>13789880.648235217</v>
      </c>
      <c r="O33" s="5">
        <f>VLOOKUP($J33,Cost!$F$13:$G$15,2,FALSE)*K33</f>
        <v>12236797.946195859</v>
      </c>
      <c r="P33" s="303">
        <f t="shared" si="6"/>
        <v>2.1973711418936612</v>
      </c>
      <c r="W33">
        <v>1</v>
      </c>
      <c r="X33" t="s">
        <v>726</v>
      </c>
      <c r="Y33" t="s">
        <v>169</v>
      </c>
      <c r="Z33" s="5">
        <v>334.46517981600198</v>
      </c>
      <c r="AA33" s="5">
        <v>1408767.3373850004</v>
      </c>
      <c r="AB33" s="5">
        <v>279780.1229160857</v>
      </c>
      <c r="AC33" s="5">
        <v>799371.779760245</v>
      </c>
      <c r="AD33" s="50">
        <f>VLOOKUP($Y33,Summary!$B$6:$H$8,7,FALSE)</f>
        <v>1</v>
      </c>
      <c r="AE33" s="5">
        <f t="shared" ref="AE33:AE42" si="18">AD33*AA33</f>
        <v>1408767.3373850004</v>
      </c>
      <c r="AF33" s="50">
        <f t="shared" ref="AF33:AF42" si="19">AE33/AB33</f>
        <v>5.0352659892408838</v>
      </c>
      <c r="AG33" s="302">
        <v>799371.779760245</v>
      </c>
      <c r="AH33" s="5">
        <f>VLOOKUP($Y33,Cost!$F$13:$G$15,2,FALSE)*Z33</f>
        <v>1120458.3523836066</v>
      </c>
      <c r="AI33">
        <f>AH33/AE33</f>
        <v>0.79534662867996198</v>
      </c>
    </row>
    <row r="34" spans="1:40">
      <c r="A34" t="str">
        <f t="shared" si="0"/>
        <v>Warehouse10-15</v>
      </c>
      <c r="B34" t="s">
        <v>54</v>
      </c>
      <c r="C34" s="2" t="s">
        <v>171</v>
      </c>
      <c r="D34" s="5">
        <v>389.52548742801201</v>
      </c>
      <c r="E34" s="5">
        <v>1417872.7742379638</v>
      </c>
      <c r="F34" s="10">
        <f t="shared" si="1"/>
        <v>3640.0000000000005</v>
      </c>
      <c r="G34" s="302">
        <v>8141814.9951618388</v>
      </c>
      <c r="H34">
        <f t="shared" si="9"/>
        <v>31</v>
      </c>
      <c r="I34" t="str">
        <f t="shared" si="2"/>
        <v>Warehouse</v>
      </c>
      <c r="J34" t="str">
        <f t="shared" si="10"/>
        <v>&gt;15</v>
      </c>
      <c r="K34" s="5">
        <f t="shared" si="3"/>
        <v>584.28823114201805</v>
      </c>
      <c r="L34" s="5">
        <f t="shared" si="4"/>
        <v>1002701.9042221039</v>
      </c>
      <c r="M34" s="50">
        <f>VLOOKUP($J34,Summary!$B$6:$H$8,7,FALSE)</f>
        <v>4.2</v>
      </c>
      <c r="N34" s="5">
        <f t="shared" si="17"/>
        <v>4211347.9977328368</v>
      </c>
      <c r="O34" s="5">
        <f>VLOOKUP($J34,Cost!$F$13:$G$15,2,FALSE)*K34</f>
        <v>2816853.5623356691</v>
      </c>
      <c r="P34" s="303">
        <f t="shared" si="6"/>
        <v>3.7015103645982945</v>
      </c>
      <c r="W34">
        <v>2</v>
      </c>
      <c r="X34" t="s">
        <v>729</v>
      </c>
      <c r="Y34" t="s">
        <v>169</v>
      </c>
      <c r="Z34" s="5">
        <v>2484.2608712476758</v>
      </c>
      <c r="AA34" s="5">
        <v>6084488.5925863031</v>
      </c>
      <c r="AB34" s="5">
        <v>4703075.5545057524</v>
      </c>
      <c r="AC34" s="5">
        <v>3579623.6896683639</v>
      </c>
      <c r="AD34" s="50">
        <f>VLOOKUP($Y34,Summary!$B$6:$H$8,7,FALSE)</f>
        <v>1</v>
      </c>
      <c r="AE34" s="5">
        <f t="shared" si="18"/>
        <v>6084488.5925863031</v>
      </c>
      <c r="AF34" s="50">
        <f t="shared" si="19"/>
        <v>1.2937254615773919</v>
      </c>
      <c r="AG34" s="302">
        <v>11945484.513254089</v>
      </c>
      <c r="AH34" s="5">
        <f>VLOOKUP($Y34,Cost!$F$13:$G$15,2,FALSE)*Z34</f>
        <v>8322273.9186797142</v>
      </c>
      <c r="AI34">
        <f t="shared" ref="AI34:AI42" si="20">AH34/AE34</f>
        <v>1.3677852776024693</v>
      </c>
    </row>
    <row r="35" spans="1:40">
      <c r="A35" t="str">
        <f t="shared" si="0"/>
        <v>Warehouse&gt;15</v>
      </c>
      <c r="B35" t="s">
        <v>54</v>
      </c>
      <c r="C35" s="2" t="s">
        <v>170</v>
      </c>
      <c r="D35" s="5">
        <v>584.28823114201805</v>
      </c>
      <c r="E35" s="5">
        <v>1002701.9042221039</v>
      </c>
      <c r="F35" s="10">
        <f t="shared" si="1"/>
        <v>1716.1083362269289</v>
      </c>
      <c r="G35" s="302">
        <v>1137737.7294443622</v>
      </c>
      <c r="H35">
        <f t="shared" si="9"/>
        <v>32</v>
      </c>
      <c r="I35" t="str">
        <f t="shared" si="2"/>
        <v>Warehouse</v>
      </c>
      <c r="J35" t="str">
        <f t="shared" si="10"/>
        <v>10-15</v>
      </c>
      <c r="K35" s="5">
        <f t="shared" si="3"/>
        <v>389.52548742801201</v>
      </c>
      <c r="L35" s="5">
        <f t="shared" si="4"/>
        <v>1417872.7742379638</v>
      </c>
      <c r="M35" s="50">
        <f>VLOOKUP($J35,Summary!$B$6:$H$8,7,FALSE)</f>
        <v>1.8</v>
      </c>
      <c r="N35" s="5">
        <f t="shared" si="17"/>
        <v>2552170.9936283352</v>
      </c>
      <c r="O35" s="5">
        <f>VLOOKUP($J35,Cost!$F$13:$G$15,2,FALSE)*K35</f>
        <v>1655483.3215690511</v>
      </c>
      <c r="P35" s="303">
        <f t="shared" si="6"/>
        <v>0.31346462614846043</v>
      </c>
      <c r="W35">
        <v>3</v>
      </c>
      <c r="Y35" t="s">
        <v>170</v>
      </c>
      <c r="Z35" s="5">
        <v>907.66525580783605</v>
      </c>
      <c r="AA35" s="5">
        <v>2123936.6985903364</v>
      </c>
      <c r="AB35" s="5">
        <v>2696284.4756097365</v>
      </c>
      <c r="AC35" s="5">
        <v>3145665.2215446867</v>
      </c>
      <c r="AD35" s="50">
        <f>VLOOKUP($Y35,Summary!$B$6:$H$8,7,FALSE)</f>
        <v>4.2</v>
      </c>
      <c r="AE35" s="5">
        <f t="shared" si="18"/>
        <v>8920534.1340794135</v>
      </c>
      <c r="AF35" s="50">
        <f t="shared" si="19"/>
        <v>3.308454361835143</v>
      </c>
      <c r="AG35" s="302">
        <v>9436995.6646340694</v>
      </c>
      <c r="AH35" s="5">
        <f>VLOOKUP($Y35,Cost!$F$13:$G$15,2,FALSE)*Z35</f>
        <v>4375854.1982495775</v>
      </c>
      <c r="AI35">
        <f t="shared" si="20"/>
        <v>0.49053724053724052</v>
      </c>
    </row>
    <row r="36" spans="1:40">
      <c r="A36" t="str">
        <f t="shared" si="0"/>
        <v>Grand Total</v>
      </c>
      <c r="B36" t="s">
        <v>172</v>
      </c>
      <c r="D36" s="5">
        <f>SUM(D6:D35)</f>
        <v>100529.94314893865</v>
      </c>
      <c r="E36" s="5">
        <f>SUM(E6:E35)</f>
        <v>476269396.13392121</v>
      </c>
      <c r="F36" s="10">
        <f t="shared" si="1"/>
        <v>4737.5874412692283</v>
      </c>
      <c r="G36" s="10"/>
      <c r="K36" s="302">
        <f>SUM(K6:K35)</f>
        <v>100529.94314893865</v>
      </c>
      <c r="L36" s="302">
        <f>SUM(L6:L35)</f>
        <v>476269396.13392121</v>
      </c>
      <c r="N36" s="302">
        <f>SUM(N6:N35)</f>
        <v>1054457269.2457163</v>
      </c>
      <c r="W36">
        <v>4</v>
      </c>
      <c r="X36" t="s">
        <v>728</v>
      </c>
      <c r="Y36" t="s">
        <v>169</v>
      </c>
      <c r="Z36" s="5">
        <v>1227.237312479082</v>
      </c>
      <c r="AA36" s="5">
        <v>7159390.0515690595</v>
      </c>
      <c r="AB36" s="5">
        <v>1680482.7794690938</v>
      </c>
      <c r="AC36" s="5">
        <v>3679332.8781591812</v>
      </c>
      <c r="AD36" s="50">
        <f>VLOOKUP($Y36,Summary!$B$6:$H$8,7,FALSE)</f>
        <v>1</v>
      </c>
      <c r="AE36" s="5">
        <f t="shared" si="18"/>
        <v>7159390.0515690595</v>
      </c>
      <c r="AF36" s="50">
        <f t="shared" si="19"/>
        <v>4.2603174153506584</v>
      </c>
      <c r="AG36" s="302">
        <v>19100279.907245781</v>
      </c>
      <c r="AH36" s="5">
        <f>VLOOKUP($Y36,Cost!$F$13:$G$15,2,FALSE)*Z36</f>
        <v>4111244.9968049247</v>
      </c>
      <c r="AI36">
        <f t="shared" si="20"/>
        <v>0.5742451475882222</v>
      </c>
    </row>
    <row r="37" spans="1:40">
      <c r="D37" s="5"/>
      <c r="E37" s="5"/>
      <c r="I37" s="139"/>
      <c r="N37" s="51">
        <f>N36/8760000</f>
        <v>120.3718343887804</v>
      </c>
      <c r="W37">
        <v>5</v>
      </c>
      <c r="Y37" t="s">
        <v>171</v>
      </c>
      <c r="Z37" s="5">
        <v>347.69183036394003</v>
      </c>
      <c r="AA37" s="5">
        <v>3037435.8300593803</v>
      </c>
      <c r="AB37" s="5">
        <v>530977.57874029211</v>
      </c>
      <c r="AC37" s="5">
        <v>530977.57874029211</v>
      </c>
      <c r="AD37" s="50">
        <f>VLOOKUP($Y37,Summary!$B$6:$H$8,7,FALSE)</f>
        <v>1.8</v>
      </c>
      <c r="AE37" s="5">
        <f t="shared" si="18"/>
        <v>5467384.494106885</v>
      </c>
      <c r="AF37" s="50">
        <f t="shared" si="19"/>
        <v>10.296827423632237</v>
      </c>
      <c r="AG37" s="302">
        <v>5309775.7874029204</v>
      </c>
      <c r="AH37" s="5">
        <f>VLOOKUP($Y37,Cost!$F$13:$G$15,2,FALSE)*Z37</f>
        <v>1477690.279046745</v>
      </c>
      <c r="AI37">
        <f t="shared" si="20"/>
        <v>0.27027370777370774</v>
      </c>
    </row>
    <row r="38" spans="1:40">
      <c r="D38" s="5"/>
      <c r="E38" s="5"/>
      <c r="I38" s="139"/>
      <c r="N38" t="s">
        <v>164</v>
      </c>
      <c r="W38">
        <v>6</v>
      </c>
      <c r="Y38" t="s">
        <v>170</v>
      </c>
      <c r="Z38" s="5">
        <v>3520.5183287528821</v>
      </c>
      <c r="AA38" s="5">
        <v>21981181.901814103</v>
      </c>
      <c r="AB38" s="5">
        <v>22016159.907596517</v>
      </c>
      <c r="AC38" s="5">
        <v>22716063.562119126</v>
      </c>
      <c r="AD38" s="50">
        <f>VLOOKUP($Y38,Summary!$B$6:$H$8,7,FALSE)</f>
        <v>4.2</v>
      </c>
      <c r="AE38" s="5">
        <f t="shared" si="18"/>
        <v>92320963.987619236</v>
      </c>
      <c r="AF38" s="50">
        <f t="shared" si="19"/>
        <v>4.1933272821008423</v>
      </c>
      <c r="AG38" s="302">
        <v>42443996.83908461</v>
      </c>
      <c r="AH38" s="5">
        <f>VLOOKUP($Y38,Cost!$F$13:$G$15,2,FALSE)*Z38</f>
        <v>16972418.862917643</v>
      </c>
      <c r="AI38">
        <f t="shared" si="20"/>
        <v>0.18384143893031424</v>
      </c>
    </row>
    <row r="39" spans="1:40">
      <c r="D39" s="5"/>
      <c r="E39" s="5"/>
      <c r="J39" t="s">
        <v>342</v>
      </c>
      <c r="K39" t="s">
        <v>346</v>
      </c>
      <c r="L39" t="s">
        <v>28</v>
      </c>
      <c r="M39" s="2" t="s">
        <v>353</v>
      </c>
      <c r="N39" t="s">
        <v>355</v>
      </c>
      <c r="O39" t="s">
        <v>709</v>
      </c>
      <c r="P39" t="s">
        <v>705</v>
      </c>
      <c r="Q39" t="s">
        <v>706</v>
      </c>
      <c r="W39">
        <v>7</v>
      </c>
      <c r="X39" t="s">
        <v>730</v>
      </c>
      <c r="Y39" t="s">
        <v>170</v>
      </c>
      <c r="Z39" s="5">
        <v>1185.7910043787499</v>
      </c>
      <c r="AA39" s="5">
        <v>8523806.2062120996</v>
      </c>
      <c r="AB39" s="5">
        <v>5699542.4078585831</v>
      </c>
      <c r="AC39" s="5">
        <v>6690470.0049057603</v>
      </c>
      <c r="AD39" s="50">
        <f>VLOOKUP($Y39,Summary!$B$6:$H$8,7,FALSE)</f>
        <v>4.2</v>
      </c>
      <c r="AE39" s="5">
        <f t="shared" si="18"/>
        <v>35799986.066090822</v>
      </c>
      <c r="AF39" s="50">
        <f t="shared" si="19"/>
        <v>6.2812035606103152</v>
      </c>
      <c r="AG39" s="302">
        <v>6690470.0049057603</v>
      </c>
      <c r="AH39" s="5">
        <f>VLOOKUP($Y39,Cost!$F$13:$G$15,2,FALSE)*Z39</f>
        <v>5716698.4321099529</v>
      </c>
      <c r="AI39">
        <f t="shared" si="20"/>
        <v>0.15968437589769674</v>
      </c>
    </row>
    <row r="40" spans="1:40">
      <c r="D40" s="5"/>
      <c r="E40" s="5"/>
      <c r="H40" s="51">
        <f>J40/8760000</f>
        <v>29.707414431522562</v>
      </c>
      <c r="I40" t="s">
        <v>46</v>
      </c>
      <c r="J40" s="5">
        <f>SUMIF($I$6:$I$35,$I40,$N$6:$N$35)</f>
        <v>260236950.42013764</v>
      </c>
      <c r="K40">
        <f>VLOOKUP(I40,$Q$6:$R$15,2,FALSE)</f>
        <v>368872051.99999982</v>
      </c>
      <c r="L40" s="51">
        <f>J40/K40</f>
        <v>0.70549381285231594</v>
      </c>
      <c r="M40" s="5">
        <f>SUMIF($I$6:$I$35,$I40,$O$6:$O$35)</f>
        <v>66334899.829227313</v>
      </c>
      <c r="N40" s="142">
        <f>M40/K40</f>
        <v>0.1798317315436718</v>
      </c>
      <c r="P40" s="302">
        <v>41850586.458099596</v>
      </c>
      <c r="Q40" s="50">
        <f>J40/P40</f>
        <v>6.218239036642518</v>
      </c>
      <c r="W40">
        <v>8</v>
      </c>
      <c r="X40" t="s">
        <v>727</v>
      </c>
      <c r="Y40" t="s">
        <v>169</v>
      </c>
      <c r="Z40" s="5">
        <v>1347.0613238848289</v>
      </c>
      <c r="AA40" s="5">
        <v>8269556.9138026256</v>
      </c>
      <c r="AB40" s="5">
        <v>1428588.1581000281</v>
      </c>
      <c r="AC40" s="5">
        <v>2251326.5219904934</v>
      </c>
      <c r="AD40" s="50">
        <f>VLOOKUP($Y40,Summary!$B$6:$H$8,7,FALSE)</f>
        <v>1</v>
      </c>
      <c r="AE40" s="5">
        <f t="shared" si="18"/>
        <v>8269556.9138026256</v>
      </c>
      <c r="AF40" s="50">
        <f t="shared" si="19"/>
        <v>5.7886220510191304</v>
      </c>
      <c r="AG40" s="302">
        <v>41645480.027107239</v>
      </c>
      <c r="AH40" s="5">
        <f>VLOOKUP($Y40,Cost!$F$13:$G$15,2,FALSE)*Z40</f>
        <v>4512655.4350141771</v>
      </c>
      <c r="AI40">
        <f t="shared" si="20"/>
        <v>0.5456949485990179</v>
      </c>
    </row>
    <row r="41" spans="1:40">
      <c r="D41" s="5"/>
      <c r="E41" s="5"/>
      <c r="H41" s="51">
        <f t="shared" ref="H41:H49" si="21">J41/8760000</f>
        <v>8.0936017209275146</v>
      </c>
      <c r="I41" t="s">
        <v>48</v>
      </c>
      <c r="J41" s="5">
        <f t="shared" ref="J41:J49" si="22">SUMIF($I$6:$I$35,I41,$N$6:$N$35)</f>
        <v>70899951.075325027</v>
      </c>
      <c r="K41">
        <f t="shared" ref="K41:K49" si="23">VLOOKUP(I41,$Q$6:$R$15,2,FALSE)</f>
        <v>77120838</v>
      </c>
      <c r="L41" s="51">
        <f t="shared" ref="L41:L49" si="24">J41/K41</f>
        <v>0.91933584896114628</v>
      </c>
      <c r="M41" s="5">
        <f t="shared" ref="M41:M49" si="25">SUMIF($I$6:$I$35,$I41,$O$6:$O$35)</f>
        <v>22541118.331969313</v>
      </c>
      <c r="N41" s="142">
        <f t="shared" ref="N41:N49" si="26">M41/K41</f>
        <v>0.29228310942328339</v>
      </c>
      <c r="P41" s="302">
        <v>22976357.879672162</v>
      </c>
      <c r="Q41" s="50">
        <f t="shared" ref="Q41:Q49" si="27">J41/P41</f>
        <v>3.0857784966020323</v>
      </c>
      <c r="W41">
        <v>9</v>
      </c>
      <c r="Y41" t="s">
        <v>171</v>
      </c>
      <c r="Z41" s="5">
        <v>654.77330415617223</v>
      </c>
      <c r="AA41" s="5">
        <v>3941688.1202530582</v>
      </c>
      <c r="AB41" s="5">
        <v>2322073.3440960497</v>
      </c>
      <c r="AC41" s="5">
        <v>2322073.3440960497</v>
      </c>
      <c r="AD41" s="50">
        <f>VLOOKUP($Y41,Summary!$B$6:$H$8,7,FALSE)</f>
        <v>1.8</v>
      </c>
      <c r="AE41" s="5">
        <f t="shared" si="18"/>
        <v>7095038.6164555047</v>
      </c>
      <c r="AF41" s="50">
        <f t="shared" si="19"/>
        <v>3.0554756741404749</v>
      </c>
      <c r="AG41" s="302">
        <v>10026974.166957971</v>
      </c>
      <c r="AH41" s="5">
        <f>VLOOKUP($Y41,Cost!$F$13:$G$15,2,FALSE)*Z41</f>
        <v>2782786.5426637321</v>
      </c>
      <c r="AI41">
        <f t="shared" si="20"/>
        <v>0.39221584167415557</v>
      </c>
    </row>
    <row r="42" spans="1:40">
      <c r="D42" s="5"/>
      <c r="E42" s="5"/>
      <c r="H42" s="51">
        <f t="shared" si="21"/>
        <v>2.2227748301664318</v>
      </c>
      <c r="I42" t="s">
        <v>49</v>
      </c>
      <c r="J42" s="5">
        <f t="shared" si="22"/>
        <v>19471507.512257941</v>
      </c>
      <c r="K42">
        <f t="shared" si="23"/>
        <v>171040928</v>
      </c>
      <c r="L42" s="51">
        <f t="shared" si="24"/>
        <v>0.11384121765439638</v>
      </c>
      <c r="M42" s="5">
        <f t="shared" si="25"/>
        <v>10582260.548452567</v>
      </c>
      <c r="N42" s="142">
        <f t="shared" si="26"/>
        <v>6.186975639218098E-2</v>
      </c>
      <c r="P42" s="302">
        <v>10183632.523397218</v>
      </c>
      <c r="Q42" s="50">
        <f t="shared" si="27"/>
        <v>1.9120394876309152</v>
      </c>
      <c r="W42">
        <v>10</v>
      </c>
      <c r="Y42" t="s">
        <v>170</v>
      </c>
      <c r="Z42" s="5">
        <v>3341.0027999601402</v>
      </c>
      <c r="AA42" s="5">
        <v>25142001.24557092</v>
      </c>
      <c r="AB42" s="5">
        <v>27473811.557514429</v>
      </c>
      <c r="AC42" s="5">
        <v>30744738.066251703</v>
      </c>
      <c r="AD42" s="50">
        <f>VLOOKUP($Y42,Summary!$B$6:$H$8,7,FALSE)</f>
        <v>4.2</v>
      </c>
      <c r="AE42" s="5">
        <f t="shared" si="18"/>
        <v>105596405.23139787</v>
      </c>
      <c r="AF42" s="50">
        <f t="shared" si="19"/>
        <v>3.8435295011884123</v>
      </c>
      <c r="AG42" s="302">
        <v>65788390.002597444</v>
      </c>
      <c r="AH42" s="5">
        <f>VLOOKUP($Y42,Cost!$F$13:$G$15,2,FALSE)*Z42</f>
        <v>16106974.498607837</v>
      </c>
      <c r="AI42">
        <f t="shared" si="20"/>
        <v>0.1525333600448987</v>
      </c>
    </row>
    <row r="43" spans="1:40" ht="15">
      <c r="D43" s="5"/>
      <c r="E43" s="5"/>
      <c r="H43" s="51">
        <f t="shared" si="21"/>
        <v>17.101533675141301</v>
      </c>
      <c r="I43" t="s">
        <v>50</v>
      </c>
      <c r="J43" s="5">
        <f t="shared" si="22"/>
        <v>149809434.99423781</v>
      </c>
      <c r="K43">
        <f t="shared" si="23"/>
        <v>734358126.00000012</v>
      </c>
      <c r="L43" s="51">
        <f t="shared" si="24"/>
        <v>0.20400051376872458</v>
      </c>
      <c r="M43" s="5">
        <f t="shared" si="25"/>
        <v>110733846.7560153</v>
      </c>
      <c r="N43" s="142">
        <f t="shared" si="26"/>
        <v>0.15078997948749501</v>
      </c>
      <c r="O43" s="302">
        <f>J43</f>
        <v>149809434.99423781</v>
      </c>
      <c r="P43" s="302">
        <v>73331394.234448493</v>
      </c>
      <c r="Q43" s="50">
        <f t="shared" si="27"/>
        <v>2.0429099508906194</v>
      </c>
      <c r="X43" t="s">
        <v>172</v>
      </c>
      <c r="Z43" s="5">
        <v>15350.46721084731</v>
      </c>
      <c r="AA43" s="5">
        <v>87672252.897842899</v>
      </c>
      <c r="AB43" s="5">
        <v>68830775.886406571</v>
      </c>
      <c r="AC43" s="5">
        <v>76459642.6472359</v>
      </c>
      <c r="AD43" s="50"/>
      <c r="AE43" s="5"/>
      <c r="AF43" s="50"/>
      <c r="AG43" s="321">
        <v>213187218.69295013</v>
      </c>
      <c r="AM43" t="s">
        <v>758</v>
      </c>
    </row>
    <row r="44" spans="1:40">
      <c r="D44" s="5"/>
      <c r="E44" s="5"/>
      <c r="H44" s="51">
        <f t="shared" si="21"/>
        <v>5.3754721844848881</v>
      </c>
      <c r="I44" t="s">
        <v>55</v>
      </c>
      <c r="J44" s="5">
        <f t="shared" si="22"/>
        <v>47089136.336087622</v>
      </c>
      <c r="K44">
        <f t="shared" si="23"/>
        <v>333434465.00000012</v>
      </c>
      <c r="L44" s="51">
        <f t="shared" si="24"/>
        <v>0.14122456218221954</v>
      </c>
      <c r="M44" s="5">
        <f t="shared" si="25"/>
        <v>22244679.961822875</v>
      </c>
      <c r="N44" s="142">
        <f t="shared" si="26"/>
        <v>6.6713799252344441E-2</v>
      </c>
      <c r="O44" s="302">
        <f>J44</f>
        <v>47089136.336087622</v>
      </c>
      <c r="P44" s="302">
        <v>16379118.61192812</v>
      </c>
      <c r="Q44" s="50">
        <f t="shared" si="27"/>
        <v>2.8749493456744908</v>
      </c>
      <c r="AI44" t="s">
        <v>355</v>
      </c>
      <c r="AK44" t="s">
        <v>740</v>
      </c>
      <c r="AM44" s="195" t="s">
        <v>756</v>
      </c>
    </row>
    <row r="45" spans="1:40">
      <c r="D45" s="5"/>
      <c r="E45" s="5"/>
      <c r="H45" s="51">
        <f t="shared" si="21"/>
        <v>10.084886391685856</v>
      </c>
      <c r="I45" t="s">
        <v>51</v>
      </c>
      <c r="J45" s="5">
        <f t="shared" si="22"/>
        <v>88343604.791168094</v>
      </c>
      <c r="K45">
        <f t="shared" si="23"/>
        <v>125160635.99999996</v>
      </c>
      <c r="L45" s="51">
        <f t="shared" si="24"/>
        <v>0.70584176954140854</v>
      </c>
      <c r="M45" s="5">
        <f t="shared" si="25"/>
        <v>26910226.342751268</v>
      </c>
      <c r="N45" s="142">
        <f t="shared" si="26"/>
        <v>0.21500550974150753</v>
      </c>
      <c r="P45" s="302">
        <v>14519533.052626371</v>
      </c>
      <c r="Q45" s="50">
        <f t="shared" si="27"/>
        <v>6.0844659722158232</v>
      </c>
      <c r="X45" s="317" t="s">
        <v>351</v>
      </c>
      <c r="Y45" s="316" t="s">
        <v>736</v>
      </c>
      <c r="Z45" s="302">
        <f>SUM(Z40:Z42)</f>
        <v>5342.8374280011412</v>
      </c>
      <c r="AA45" s="302">
        <f>SUM(AA40:AA42)</f>
        <v>37353246.279626608</v>
      </c>
      <c r="AB45" s="302">
        <f>SUM(AB40:AB42)</f>
        <v>31224473.059710506</v>
      </c>
      <c r="AC45" s="302">
        <f>SUM(AC40:AC42)</f>
        <v>35318137.932338245</v>
      </c>
      <c r="AD45" s="302"/>
      <c r="AE45" s="302">
        <f t="shared" ref="AE45" si="28">SUM(AE40:AE42)</f>
        <v>120961000.761656</v>
      </c>
      <c r="AF45" s="50">
        <f t="shared" ref="AF45:AF48" si="29">AE45/AB45</f>
        <v>3.8739164798823822</v>
      </c>
      <c r="AG45" s="302">
        <f>AN46</f>
        <v>129167410.12299085</v>
      </c>
      <c r="AH45" s="302">
        <f t="shared" ref="AH45" si="30">SUM(AH40:AH42)</f>
        <v>23402416.476285748</v>
      </c>
      <c r="AI45" s="6">
        <f>AH45/AG45</f>
        <v>0.1811789556978993</v>
      </c>
      <c r="AK45" s="50">
        <f>AE45/AG45</f>
        <v>0.93646687385369998</v>
      </c>
      <c r="AM45" t="s">
        <v>726</v>
      </c>
      <c r="AN45" s="302">
        <v>53131822.294223964</v>
      </c>
    </row>
    <row r="46" spans="1:40">
      <c r="H46" s="51">
        <f t="shared" si="21"/>
        <v>12.147443216904957</v>
      </c>
      <c r="I46" t="s">
        <v>302</v>
      </c>
      <c r="J46" s="5">
        <f t="shared" si="22"/>
        <v>106411602.58008742</v>
      </c>
      <c r="K46">
        <f t="shared" si="23"/>
        <v>53036739.000000015</v>
      </c>
      <c r="L46" s="51">
        <f t="shared" si="24"/>
        <v>2.0063752897795508</v>
      </c>
      <c r="M46" s="5">
        <f t="shared" si="25"/>
        <v>38838477.871706031</v>
      </c>
      <c r="N46" s="142">
        <f t="shared" si="26"/>
        <v>0.73229385146975234</v>
      </c>
      <c r="P46" s="302">
        <v>20381924.712267552</v>
      </c>
      <c r="Q46" s="50">
        <f t="shared" si="27"/>
        <v>5.2208809561562157</v>
      </c>
      <c r="X46" s="317" t="s">
        <v>309</v>
      </c>
      <c r="Y46" s="316" t="s">
        <v>737</v>
      </c>
      <c r="Z46" s="302">
        <f>SUM(Z39)</f>
        <v>1185.7910043787499</v>
      </c>
      <c r="AA46" s="302">
        <f t="shared" ref="AA46:AE46" si="31">SUM(AA39)</f>
        <v>8523806.2062120996</v>
      </c>
      <c r="AB46" s="302">
        <f t="shared" si="31"/>
        <v>5699542.4078585831</v>
      </c>
      <c r="AC46" s="302">
        <f t="shared" si="31"/>
        <v>6690470.0049057603</v>
      </c>
      <c r="AD46" s="302"/>
      <c r="AE46" s="302">
        <f t="shared" si="31"/>
        <v>35799986.066090822</v>
      </c>
      <c r="AF46" s="50">
        <f t="shared" si="29"/>
        <v>6.2812035606103152</v>
      </c>
      <c r="AG46" s="302">
        <f>AN49</f>
        <v>31137702.016335297</v>
      </c>
      <c r="AH46" s="302">
        <f t="shared" ref="AH46" si="32">SUM(AH39)</f>
        <v>5716698.4321099529</v>
      </c>
      <c r="AI46" s="6">
        <f t="shared" ref="AI46:AI48" si="33">AH46/AG46</f>
        <v>0.18359410174555876</v>
      </c>
      <c r="AK46" s="50">
        <f>AE46/AG46</f>
        <v>1.1497311538054293</v>
      </c>
      <c r="AM46" t="s">
        <v>727</v>
      </c>
      <c r="AN46" s="302">
        <v>129167410.12299085</v>
      </c>
    </row>
    <row r="47" spans="1:40">
      <c r="H47" s="51">
        <f t="shared" si="21"/>
        <v>30.320224295867387</v>
      </c>
      <c r="I47" t="s">
        <v>313</v>
      </c>
      <c r="J47" s="5">
        <f t="shared" si="22"/>
        <v>265605164.83179832</v>
      </c>
      <c r="K47">
        <f t="shared" si="23"/>
        <v>570929487.99999964</v>
      </c>
      <c r="L47" s="51">
        <f t="shared" si="24"/>
        <v>0.46521535568644246</v>
      </c>
      <c r="M47" s="5">
        <f>SUMIF($I$6:$I$35,$I47,$O$6:$O$35)</f>
        <v>63768813.107031159</v>
      </c>
      <c r="N47" s="142">
        <f>M47/K47</f>
        <v>0.11169297513501562</v>
      </c>
      <c r="P47" s="302">
        <v>76459642.647235915</v>
      </c>
      <c r="Q47" s="50">
        <f t="shared" si="27"/>
        <v>3.4737955297179273</v>
      </c>
      <c r="X47" s="317" t="s">
        <v>308</v>
      </c>
      <c r="Y47" s="316" t="s">
        <v>738</v>
      </c>
      <c r="Z47" s="302">
        <f>SUM(Z34:Z38)</f>
        <v>8487.3735986514166</v>
      </c>
      <c r="AA47" s="302">
        <f t="shared" ref="AA47:AE47" si="34">SUM(AA34:AA38)</f>
        <v>40386433.074619181</v>
      </c>
      <c r="AB47" s="302">
        <f t="shared" si="34"/>
        <v>31626980.295921393</v>
      </c>
      <c r="AC47" s="302">
        <f t="shared" si="34"/>
        <v>33651662.930231646</v>
      </c>
      <c r="AD47" s="302"/>
      <c r="AE47" s="302">
        <f t="shared" si="34"/>
        <v>119952761.25996089</v>
      </c>
      <c r="AF47" s="50">
        <f t="shared" si="29"/>
        <v>3.7927351943691558</v>
      </c>
      <c r="AG47" s="302">
        <f>AN48+AN47</f>
        <v>303784279.19189131</v>
      </c>
      <c r="AH47" s="302">
        <f t="shared" ref="AH47" si="35">SUM(AH34:AH38)</f>
        <v>35259482.255698606</v>
      </c>
      <c r="AI47" s="6">
        <f t="shared" si="33"/>
        <v>0.11606750141743268</v>
      </c>
      <c r="AK47" s="50">
        <f>AE47/AG47</f>
        <v>0.39486164846664223</v>
      </c>
      <c r="AM47" t="s">
        <v>728</v>
      </c>
      <c r="AN47" s="302">
        <v>156790448.25851113</v>
      </c>
    </row>
    <row r="48" spans="1:40">
      <c r="A48" s="37" t="s">
        <v>428</v>
      </c>
      <c r="B48" s="38" t="s">
        <v>429</v>
      </c>
      <c r="C48" s="376"/>
      <c r="D48" s="38"/>
      <c r="E48" s="39"/>
      <c r="H48" s="51">
        <f t="shared" si="21"/>
        <v>2.9722051444086537</v>
      </c>
      <c r="I48" t="s">
        <v>314</v>
      </c>
      <c r="J48" s="5">
        <f t="shared" si="22"/>
        <v>26036517.065019805</v>
      </c>
      <c r="K48">
        <f t="shared" si="23"/>
        <v>245353160.99999994</v>
      </c>
      <c r="L48" s="51">
        <f t="shared" si="24"/>
        <v>0.10611853117726823</v>
      </c>
      <c r="M48" s="5">
        <f t="shared" si="25"/>
        <v>23198912.15345769</v>
      </c>
      <c r="N48" s="142">
        <f t="shared" si="26"/>
        <v>9.4553141516109079E-2</v>
      </c>
      <c r="P48" s="302">
        <v>15727238.347715884</v>
      </c>
      <c r="Q48" s="50">
        <f t="shared" si="27"/>
        <v>1.6555047039648363</v>
      </c>
      <c r="X48" s="317" t="s">
        <v>310</v>
      </c>
      <c r="Y48" s="316" t="s">
        <v>739</v>
      </c>
      <c r="Z48" s="302">
        <f>Z33</f>
        <v>334.46517981600198</v>
      </c>
      <c r="AA48" s="302">
        <f t="shared" ref="AA48:AE48" si="36">AA33</f>
        <v>1408767.3373850004</v>
      </c>
      <c r="AB48" s="302">
        <f t="shared" si="36"/>
        <v>279780.1229160857</v>
      </c>
      <c r="AC48" s="302">
        <f t="shared" si="36"/>
        <v>799371.779760245</v>
      </c>
      <c r="AD48" s="302"/>
      <c r="AE48" s="302">
        <f t="shared" si="36"/>
        <v>1408767.3373850004</v>
      </c>
      <c r="AF48" s="50">
        <f t="shared" si="29"/>
        <v>5.0352659892408838</v>
      </c>
      <c r="AG48" s="302">
        <f>AN45</f>
        <v>53131822.294223964</v>
      </c>
      <c r="AH48" s="302">
        <f t="shared" ref="AH48" si="37">AH33</f>
        <v>1120458.3523836066</v>
      </c>
      <c r="AI48" s="6">
        <f t="shared" si="33"/>
        <v>2.1088272602037467E-2</v>
      </c>
      <c r="AK48" s="50">
        <f>AE48/AG48</f>
        <v>2.6514568417845316E-2</v>
      </c>
      <c r="AM48" t="s">
        <v>729</v>
      </c>
      <c r="AN48" s="302">
        <v>146993830.93338019</v>
      </c>
    </row>
    <row r="49" spans="1:40">
      <c r="A49" s="46" t="s">
        <v>430</v>
      </c>
      <c r="B49" s="41" t="s">
        <v>431</v>
      </c>
      <c r="C49" s="377"/>
      <c r="D49" s="310" t="s">
        <v>443</v>
      </c>
      <c r="E49" s="42"/>
      <c r="H49" s="51">
        <f t="shared" si="21"/>
        <v>2.3462784976708204</v>
      </c>
      <c r="I49" t="s">
        <v>54</v>
      </c>
      <c r="J49" s="5">
        <f t="shared" si="22"/>
        <v>20553399.639596388</v>
      </c>
      <c r="K49">
        <f t="shared" si="23"/>
        <v>442224054.00000012</v>
      </c>
      <c r="L49" s="51">
        <f t="shared" si="24"/>
        <v>4.6477344354489553E-2</v>
      </c>
      <c r="M49" s="5">
        <f t="shared" si="25"/>
        <v>16709134.830100581</v>
      </c>
      <c r="N49" s="142">
        <f t="shared" si="26"/>
        <v>3.7784319235833738E-2</v>
      </c>
      <c r="P49" s="302">
        <v>15555179.260936931</v>
      </c>
      <c r="Q49" s="50">
        <f t="shared" si="27"/>
        <v>1.3213219400956233</v>
      </c>
      <c r="AG49" s="302">
        <f>SUM(AG45:AG48)</f>
        <v>517221213.62544143</v>
      </c>
      <c r="AM49" t="s">
        <v>730</v>
      </c>
      <c r="AN49" s="302">
        <v>31137702.016335297</v>
      </c>
    </row>
    <row r="50" spans="1:40" ht="15">
      <c r="A50" s="46" t="s">
        <v>432</v>
      </c>
      <c r="B50" s="41" t="s">
        <v>433</v>
      </c>
      <c r="C50" s="377"/>
      <c r="D50" s="41" t="s">
        <v>444</v>
      </c>
      <c r="E50" s="42"/>
      <c r="K50" s="5">
        <f>SUM(K40:K49)</f>
        <v>3121530486.9999995</v>
      </c>
      <c r="R50" s="51">
        <f>Q51*0.64</f>
        <v>2.1956094987804953</v>
      </c>
      <c r="AN50" s="321">
        <v>517221213.62544143</v>
      </c>
    </row>
    <row r="51" spans="1:40">
      <c r="A51" s="46"/>
      <c r="B51" s="41"/>
      <c r="C51" s="377"/>
      <c r="D51" s="41"/>
      <c r="E51" s="42"/>
      <c r="L51" s="307">
        <f>SUMPRODUCT(K40:K49,L40:L49)/SUM(K40:K49)</f>
        <v>0.33780136815486311</v>
      </c>
      <c r="Q51" s="308">
        <f>SUMPRODUCT(P40:P49,Q40:Q49)/SUM(P40:P49)</f>
        <v>3.4306398418445241</v>
      </c>
    </row>
    <row r="52" spans="1:40" s="172" customFormat="1">
      <c r="A52" s="46"/>
      <c r="B52" s="41" t="s">
        <v>311</v>
      </c>
      <c r="C52" s="377"/>
      <c r="D52" s="41"/>
      <c r="E52" s="42"/>
      <c r="H52" s="359" t="s">
        <v>762</v>
      </c>
      <c r="I52" s="359"/>
      <c r="AF52" s="354">
        <f>AF33*AB33/AN45</f>
        <v>2.6514568417845316E-2</v>
      </c>
    </row>
    <row r="53" spans="1:40" ht="38.25">
      <c r="A53" s="197" t="s">
        <v>312</v>
      </c>
      <c r="B53" s="198" t="s">
        <v>434</v>
      </c>
      <c r="C53" s="198" t="s">
        <v>435</v>
      </c>
      <c r="D53" s="198" t="s">
        <v>436</v>
      </c>
      <c r="E53" s="199" t="s">
        <v>437</v>
      </c>
      <c r="I53" s="193"/>
      <c r="J53" s="193"/>
      <c r="K53" s="194" t="s">
        <v>770</v>
      </c>
      <c r="L53" s="194" t="s">
        <v>356</v>
      </c>
      <c r="M53" s="172" t="s">
        <v>346</v>
      </c>
      <c r="N53" s="172"/>
      <c r="O53" s="172"/>
      <c r="P53" s="172"/>
    </row>
    <row r="54" spans="1:40">
      <c r="A54" s="37" t="s">
        <v>169</v>
      </c>
      <c r="B54" s="200">
        <v>86812.768256656331</v>
      </c>
      <c r="C54" s="378">
        <v>360646131.81795263</v>
      </c>
      <c r="D54" s="200">
        <v>143029555.17588454</v>
      </c>
      <c r="E54" s="201">
        <v>109200628.14549217</v>
      </c>
      <c r="I54" s="71" t="s">
        <v>292</v>
      </c>
      <c r="J54" s="71" t="s">
        <v>293</v>
      </c>
      <c r="K54" s="235">
        <f>AJ19</f>
        <v>0.11506921726474252</v>
      </c>
      <c r="L54" s="50">
        <f>AH19</f>
        <v>8.6958816167838432E-2</v>
      </c>
    </row>
    <row r="55" spans="1:40">
      <c r="A55" s="46" t="s">
        <v>438</v>
      </c>
      <c r="B55" s="202">
        <v>47579.194421896791</v>
      </c>
      <c r="C55" s="379">
        <v>200916972.08363026</v>
      </c>
      <c r="D55" s="202">
        <v>73915979.350598052</v>
      </c>
      <c r="E55" s="203">
        <v>56480214.258378677</v>
      </c>
      <c r="I55" s="71" t="s">
        <v>292</v>
      </c>
      <c r="J55" s="71" t="s">
        <v>294</v>
      </c>
      <c r="K55" s="235">
        <f t="shared" ref="K55:K56" si="38">AJ20</f>
        <v>0.38623376009711341</v>
      </c>
      <c r="L55" s="50">
        <f>AH20</f>
        <v>0.31606351396005627</v>
      </c>
      <c r="AK55" s="5"/>
    </row>
    <row r="56" spans="1:40">
      <c r="A56" s="46" t="s">
        <v>439</v>
      </c>
      <c r="B56" s="202">
        <v>39233.573834759532</v>
      </c>
      <c r="C56" s="379">
        <v>159729159.73432237</v>
      </c>
      <c r="D56" s="202">
        <v>69113575.825286508</v>
      </c>
      <c r="E56" s="203">
        <v>52720413.887113489</v>
      </c>
      <c r="I56" s="71" t="s">
        <v>292</v>
      </c>
      <c r="J56" s="71" t="s">
        <v>295</v>
      </c>
      <c r="K56" s="235">
        <f t="shared" si="38"/>
        <v>0.26506590770984895</v>
      </c>
      <c r="L56" s="50">
        <f>AH21</f>
        <v>0.19999195139965231</v>
      </c>
      <c r="AK56" s="5"/>
    </row>
    <row r="57" spans="1:40">
      <c r="A57" s="46" t="s">
        <v>170</v>
      </c>
      <c r="B57" s="202">
        <v>36115.539800508916</v>
      </c>
      <c r="C57" s="379">
        <v>182879260.90610272</v>
      </c>
      <c r="D57" s="202">
        <v>189930139.82312161</v>
      </c>
      <c r="E57" s="203">
        <v>183965047.36540583</v>
      </c>
      <c r="I57" s="71" t="s">
        <v>347</v>
      </c>
      <c r="J57" s="106" t="s">
        <v>333</v>
      </c>
      <c r="K57" s="235">
        <f>AK45</f>
        <v>0.93646687385369998</v>
      </c>
      <c r="L57" s="50">
        <f>AI45</f>
        <v>0.1811789556978993</v>
      </c>
      <c r="AK57" s="5"/>
    </row>
    <row r="58" spans="1:40">
      <c r="A58" s="46" t="s">
        <v>438</v>
      </c>
      <c r="B58" s="202">
        <v>29298.958223802772</v>
      </c>
      <c r="C58" s="379">
        <v>154388719.83362451</v>
      </c>
      <c r="D58" s="202">
        <v>147946607.92594111</v>
      </c>
      <c r="E58" s="203">
        <v>138030392.39345309</v>
      </c>
      <c r="I58" s="71" t="s">
        <v>347</v>
      </c>
      <c r="J58" s="106" t="s">
        <v>309</v>
      </c>
      <c r="K58" s="235">
        <f>AK46</f>
        <v>1.1497311538054293</v>
      </c>
      <c r="L58" s="50">
        <f>AI46</f>
        <v>0.18359410174555876</v>
      </c>
      <c r="AK58" s="5"/>
    </row>
    <row r="59" spans="1:40">
      <c r="A59" s="46" t="s">
        <v>439</v>
      </c>
      <c r="B59" s="202">
        <v>6816.5815767061449</v>
      </c>
      <c r="C59" s="379">
        <v>28490541.072478212</v>
      </c>
      <c r="D59" s="202">
        <v>41983531.897180505</v>
      </c>
      <c r="E59" s="203">
        <v>45934654.971952729</v>
      </c>
      <c r="I59" s="71" t="s">
        <v>347</v>
      </c>
      <c r="J59" s="106" t="s">
        <v>308</v>
      </c>
      <c r="K59" s="235">
        <f>AK47</f>
        <v>0.39486164846664223</v>
      </c>
      <c r="L59" s="50">
        <f>AI47</f>
        <v>0.11606750141743268</v>
      </c>
      <c r="AK59" s="5"/>
    </row>
    <row r="60" spans="1:40">
      <c r="A60" s="46" t="s">
        <v>171</v>
      </c>
      <c r="B60" s="202">
        <v>32273.896318467541</v>
      </c>
      <c r="C60" s="379">
        <v>157236359.66474131</v>
      </c>
      <c r="D60" s="202">
        <v>86820231.716922119</v>
      </c>
      <c r="E60" s="203">
        <v>78752781.501548797</v>
      </c>
      <c r="I60" s="71" t="s">
        <v>347</v>
      </c>
      <c r="J60" s="106" t="s">
        <v>310</v>
      </c>
      <c r="K60" s="235">
        <f>AK48</f>
        <v>2.6514568417845316E-2</v>
      </c>
      <c r="L60" s="50">
        <f>AI48</f>
        <v>2.1088272602037467E-2</v>
      </c>
      <c r="AK60" s="5"/>
    </row>
    <row r="61" spans="1:40">
      <c r="A61" s="46" t="s">
        <v>438</v>
      </c>
      <c r="B61" s="202">
        <v>23768.238348630897</v>
      </c>
      <c r="C61" s="379">
        <v>106230643.4998562</v>
      </c>
      <c r="D61" s="202">
        <v>55664288.209419034</v>
      </c>
      <c r="E61" s="203">
        <v>52761181.15586172</v>
      </c>
      <c r="I61" s="71" t="s">
        <v>348</v>
      </c>
      <c r="J61" s="71" t="s">
        <v>314</v>
      </c>
      <c r="K61" s="235">
        <f t="shared" ref="K61:K71" si="39">VLOOKUP(REPLACE(I61,1,4,""),$I$40:$L$49,4,FALSE)</f>
        <v>0.10611853117726823</v>
      </c>
      <c r="L61" s="50">
        <f t="shared" ref="L61" si="40">VLOOKUP(REPLACE($I61,1,4,""),$I$40:$N$49,6,FALSE)</f>
        <v>9.4553141516109079E-2</v>
      </c>
      <c r="AK61" s="5"/>
    </row>
    <row r="62" spans="1:40">
      <c r="A62" s="46" t="s">
        <v>439</v>
      </c>
      <c r="B62" s="202">
        <v>8505.657969836644</v>
      </c>
      <c r="C62" s="379">
        <v>51005716.164885096</v>
      </c>
      <c r="D62" s="202">
        <v>31155943.507503089</v>
      </c>
      <c r="E62" s="203">
        <v>25991600.34568708</v>
      </c>
      <c r="I62" s="71" t="s">
        <v>296</v>
      </c>
      <c r="J62" s="71" t="s">
        <v>297</v>
      </c>
      <c r="K62" s="365">
        <f>K61</f>
        <v>0.10611853117726823</v>
      </c>
      <c r="L62" s="355">
        <f>L61</f>
        <v>9.4553141516109079E-2</v>
      </c>
    </row>
    <row r="63" spans="1:40">
      <c r="A63" s="204" t="s">
        <v>172</v>
      </c>
      <c r="B63" s="205">
        <v>155202.20437563278</v>
      </c>
      <c r="C63" s="380">
        <v>700761752.38879657</v>
      </c>
      <c r="D63" s="205">
        <v>419779926.71592826</v>
      </c>
      <c r="E63" s="206">
        <v>371918457.01244682</v>
      </c>
      <c r="I63" s="71" t="s">
        <v>298</v>
      </c>
      <c r="J63" s="71" t="s">
        <v>54</v>
      </c>
      <c r="K63" s="366">
        <f>VLOOKUP(REPLACE(I63,1,4,""),$I$40:$L$49,4,FALSE)</f>
        <v>4.6477344354489553E-2</v>
      </c>
      <c r="L63" s="367">
        <f>VLOOKUP(REPLACE($I63,1,4,""),$I$40:$N$49,6,FALSE)</f>
        <v>3.7784319235833738E-2</v>
      </c>
    </row>
    <row r="64" spans="1:40">
      <c r="A64" s="215" t="s">
        <v>441</v>
      </c>
      <c r="I64" s="71" t="s">
        <v>299</v>
      </c>
      <c r="J64" s="71" t="s">
        <v>300</v>
      </c>
      <c r="K64" s="366">
        <f t="shared" si="39"/>
        <v>0.91933584896114628</v>
      </c>
      <c r="L64" s="367">
        <f>VLOOKUP(REPLACE($I64,1,4,""),$I$40:$N$49,6,FALSE)</f>
        <v>0.29228310942328339</v>
      </c>
    </row>
    <row r="65" spans="1:12">
      <c r="A65" s="37" t="s">
        <v>169</v>
      </c>
      <c r="B65" s="207">
        <f>B66+B67</f>
        <v>61310.945264062626</v>
      </c>
      <c r="C65" s="381">
        <f t="shared" ref="C65:E65" si="41">C66+C67</f>
        <v>256822177.99064308</v>
      </c>
      <c r="D65" s="207">
        <f t="shared" si="41"/>
        <v>98105730.88944833</v>
      </c>
      <c r="E65" s="208">
        <f t="shared" si="41"/>
        <v>74932359.118868396</v>
      </c>
      <c r="I65" s="71" t="s">
        <v>299</v>
      </c>
      <c r="J65" s="71" t="s">
        <v>350</v>
      </c>
      <c r="K65" s="366">
        <f t="shared" si="39"/>
        <v>0.91933584896114628</v>
      </c>
      <c r="L65" s="367">
        <f>VLOOKUP(REPLACE($I65,1,4,""),$I$40:$N$49,6,FALSE)</f>
        <v>0.29228310942328339</v>
      </c>
    </row>
    <row r="66" spans="1:12">
      <c r="A66" s="46" t="s">
        <v>438</v>
      </c>
      <c r="B66" s="209">
        <f>B55</f>
        <v>47579.194421896791</v>
      </c>
      <c r="C66" s="382">
        <f t="shared" ref="C66:E66" si="42">C55</f>
        <v>200916972.08363026</v>
      </c>
      <c r="D66" s="209">
        <f t="shared" si="42"/>
        <v>73915979.350598052</v>
      </c>
      <c r="E66" s="210">
        <f t="shared" si="42"/>
        <v>56480214.258378677</v>
      </c>
      <c r="I66" s="71" t="s">
        <v>301</v>
      </c>
      <c r="J66" s="71" t="s">
        <v>302</v>
      </c>
      <c r="K66" s="366">
        <f t="shared" si="39"/>
        <v>2.0063752897795508</v>
      </c>
      <c r="L66" s="367">
        <f>VLOOKUP(REPLACE($I66,1,4,""),$I$40:$N$49,6,FALSE)</f>
        <v>0.73229385146975234</v>
      </c>
    </row>
    <row r="67" spans="1:12">
      <c r="A67" s="46" t="s">
        <v>439</v>
      </c>
      <c r="B67" s="209">
        <f>B56*0.35</f>
        <v>13731.750842165835</v>
      </c>
      <c r="C67" s="382">
        <f t="shared" ref="C67:E67" si="43">C56*0.35</f>
        <v>55905205.907012828</v>
      </c>
      <c r="D67" s="209">
        <f t="shared" si="43"/>
        <v>24189751.538850278</v>
      </c>
      <c r="E67" s="210">
        <f t="shared" si="43"/>
        <v>18452144.860489719</v>
      </c>
      <c r="I67" s="71" t="s">
        <v>349</v>
      </c>
      <c r="J67" s="71" t="s">
        <v>49</v>
      </c>
      <c r="K67" s="366">
        <f t="shared" si="39"/>
        <v>0.11384121765439638</v>
      </c>
      <c r="L67" s="367">
        <f>VLOOKUP(REPLACE($I67,1,4,""),$I$40:$N$49,6,FALSE)</f>
        <v>6.186975639218098E-2</v>
      </c>
    </row>
    <row r="68" spans="1:12">
      <c r="A68" s="46" t="s">
        <v>170</v>
      </c>
      <c r="B68" s="211">
        <f>B69+B70</f>
        <v>31684.761775649924</v>
      </c>
      <c r="C68" s="383">
        <f t="shared" ref="C68:E68" si="44">C69+C70</f>
        <v>164360409.20899189</v>
      </c>
      <c r="D68" s="211">
        <f t="shared" si="44"/>
        <v>162640844.08995429</v>
      </c>
      <c r="E68" s="212">
        <f t="shared" si="44"/>
        <v>154107521.63363653</v>
      </c>
      <c r="I68" s="71" t="s">
        <v>303</v>
      </c>
      <c r="J68" s="71" t="s">
        <v>304</v>
      </c>
      <c r="K68" s="365">
        <f>K67</f>
        <v>0.11384121765439638</v>
      </c>
      <c r="L68" s="355">
        <f>L67</f>
        <v>6.186975639218098E-2</v>
      </c>
    </row>
    <row r="69" spans="1:12">
      <c r="A69" s="46" t="s">
        <v>438</v>
      </c>
      <c r="B69" s="209">
        <f>B58</f>
        <v>29298.958223802772</v>
      </c>
      <c r="C69" s="382">
        <f t="shared" ref="C69:E69" si="45">C58</f>
        <v>154388719.83362451</v>
      </c>
      <c r="D69" s="209">
        <f t="shared" si="45"/>
        <v>147946607.92594111</v>
      </c>
      <c r="E69" s="210">
        <f t="shared" si="45"/>
        <v>138030392.39345309</v>
      </c>
      <c r="I69" s="71" t="s">
        <v>305</v>
      </c>
      <c r="J69" s="106" t="s">
        <v>51</v>
      </c>
      <c r="K69" s="235">
        <f>L45</f>
        <v>0.70584176954140854</v>
      </c>
      <c r="L69" s="355">
        <f>N45</f>
        <v>0.21500550974150753</v>
      </c>
    </row>
    <row r="70" spans="1:12">
      <c r="A70" s="46" t="s">
        <v>439</v>
      </c>
      <c r="B70" s="209">
        <f>B59*0.35</f>
        <v>2385.8035518471506</v>
      </c>
      <c r="C70" s="382">
        <f t="shared" ref="C70:E70" si="46">C59*0.35</f>
        <v>9971689.3753673732</v>
      </c>
      <c r="D70" s="209">
        <f t="shared" si="46"/>
        <v>14694236.164013175</v>
      </c>
      <c r="E70" s="210">
        <f t="shared" si="46"/>
        <v>16077129.240183454</v>
      </c>
      <c r="I70" s="71" t="s">
        <v>306</v>
      </c>
      <c r="J70" s="71" t="s">
        <v>46</v>
      </c>
      <c r="K70" s="235">
        <f t="shared" si="39"/>
        <v>0.70549381285231594</v>
      </c>
      <c r="L70" s="50">
        <f>VLOOKUP(REPLACE($I70,1,4,""),$I$40:$N$49,6,FALSE)</f>
        <v>0.1798317315436718</v>
      </c>
    </row>
    <row r="71" spans="1:12">
      <c r="A71" s="46" t="s">
        <v>171</v>
      </c>
      <c r="B71" s="211">
        <f>B72+B73</f>
        <v>26745.218638073722</v>
      </c>
      <c r="C71" s="383">
        <f t="shared" ref="C71:E71" si="47">C72+C73</f>
        <v>124082644.15756598</v>
      </c>
      <c r="D71" s="211">
        <f t="shared" si="47"/>
        <v>66568868.437045112</v>
      </c>
      <c r="E71" s="212">
        <f t="shared" si="47"/>
        <v>61858241.276852198</v>
      </c>
      <c r="I71" s="71" t="s">
        <v>307</v>
      </c>
      <c r="J71" s="71" t="s">
        <v>55</v>
      </c>
      <c r="K71" s="235">
        <f t="shared" si="39"/>
        <v>0.14122456218221954</v>
      </c>
      <c r="L71" s="50">
        <f>VLOOKUP(REPLACE($I71,1,4,""),$I$40:$N$49,6,FALSE)</f>
        <v>6.6713799252344441E-2</v>
      </c>
    </row>
    <row r="72" spans="1:12">
      <c r="A72" s="46" t="s">
        <v>438</v>
      </c>
      <c r="B72" s="209">
        <f>B61</f>
        <v>23768.238348630897</v>
      </c>
      <c r="C72" s="382">
        <f t="shared" ref="C72:E72" si="48">C61</f>
        <v>106230643.4998562</v>
      </c>
      <c r="D72" s="209">
        <f t="shared" si="48"/>
        <v>55664288.209419034</v>
      </c>
      <c r="E72" s="210">
        <f t="shared" si="48"/>
        <v>52761181.15586172</v>
      </c>
    </row>
    <row r="73" spans="1:12">
      <c r="A73" s="46" t="s">
        <v>439</v>
      </c>
      <c r="B73" s="209">
        <f>B62*0.35</f>
        <v>2976.9802894428253</v>
      </c>
      <c r="C73" s="382">
        <f t="shared" ref="C73:E73" si="49">C62*0.35</f>
        <v>17852000.657709781</v>
      </c>
      <c r="D73" s="209">
        <f t="shared" si="49"/>
        <v>10904580.22762608</v>
      </c>
      <c r="E73" s="210">
        <f t="shared" si="49"/>
        <v>9097060.1209904775</v>
      </c>
    </row>
    <row r="74" spans="1:12">
      <c r="A74" s="204" t="s">
        <v>172</v>
      </c>
      <c r="B74" s="213">
        <f>B65+B68+B71</f>
        <v>119740.92567778628</v>
      </c>
      <c r="C74" s="384">
        <f t="shared" ref="C74:E74" si="50">C65+C68+C71</f>
        <v>545265231.35720098</v>
      </c>
      <c r="D74" s="213">
        <f t="shared" si="50"/>
        <v>327315443.4164477</v>
      </c>
      <c r="E74" s="214">
        <f t="shared" si="50"/>
        <v>290898122.02935714</v>
      </c>
    </row>
    <row r="78" spans="1:12">
      <c r="A78" s="37" t="s">
        <v>428</v>
      </c>
      <c r="B78" s="38" t="s">
        <v>429</v>
      </c>
      <c r="C78" s="376"/>
      <c r="D78" s="38"/>
      <c r="E78" s="39"/>
    </row>
    <row r="79" spans="1:12">
      <c r="A79" s="46" t="s">
        <v>430</v>
      </c>
      <c r="B79" s="41" t="s">
        <v>431</v>
      </c>
      <c r="C79" s="377"/>
      <c r="D79" s="41"/>
      <c r="E79" s="42"/>
    </row>
    <row r="80" spans="1:12">
      <c r="A80" s="46" t="s">
        <v>440</v>
      </c>
      <c r="B80" s="41" t="s">
        <v>429</v>
      </c>
      <c r="C80" s="377"/>
      <c r="D80" s="41"/>
      <c r="E80" s="42"/>
    </row>
    <row r="81" spans="1:5">
      <c r="A81" s="204" t="s">
        <v>432</v>
      </c>
      <c r="B81" s="48" t="s">
        <v>433</v>
      </c>
      <c r="C81" s="385"/>
      <c r="D81" s="48"/>
      <c r="E81" s="49"/>
    </row>
    <row r="82" spans="1:5">
      <c r="A82" s="46"/>
      <c r="B82" s="41"/>
      <c r="C82" s="377"/>
      <c r="D82" s="41"/>
      <c r="E82" s="42"/>
    </row>
    <row r="83" spans="1:5">
      <c r="A83" s="46"/>
      <c r="B83" s="41" t="s">
        <v>311</v>
      </c>
      <c r="C83" s="377"/>
      <c r="D83" s="41"/>
      <c r="E83" s="42"/>
    </row>
    <row r="84" spans="1:5">
      <c r="A84" s="46" t="s">
        <v>312</v>
      </c>
      <c r="B84" s="41" t="s">
        <v>434</v>
      </c>
      <c r="C84" s="377" t="s">
        <v>435</v>
      </c>
      <c r="D84" s="41" t="s">
        <v>436</v>
      </c>
      <c r="E84" s="42" t="s">
        <v>437</v>
      </c>
    </row>
    <row r="85" spans="1:5">
      <c r="A85" s="46" t="s">
        <v>169</v>
      </c>
      <c r="B85" s="209">
        <v>212046.01827456511</v>
      </c>
      <c r="C85" s="382">
        <v>865741878.78092051</v>
      </c>
      <c r="D85" s="209">
        <v>319154793.12150156</v>
      </c>
      <c r="E85" s="210">
        <v>248585436.1892249</v>
      </c>
    </row>
    <row r="86" spans="1:5">
      <c r="A86" s="46" t="s">
        <v>170</v>
      </c>
      <c r="B86" s="209">
        <v>71858.455408797672</v>
      </c>
      <c r="C86" s="382">
        <v>386098392.09438652</v>
      </c>
      <c r="D86" s="209">
        <v>421015511.77005661</v>
      </c>
      <c r="E86" s="210">
        <v>404066081.77823418</v>
      </c>
    </row>
    <row r="87" spans="1:5">
      <c r="A87" s="46" t="s">
        <v>171</v>
      </c>
      <c r="B87" s="209">
        <v>72385.920796189457</v>
      </c>
      <c r="C87" s="382">
        <v>323929842.28298634</v>
      </c>
      <c r="D87" s="209">
        <v>189903173.70450616</v>
      </c>
      <c r="E87" s="210">
        <v>173349283.19440016</v>
      </c>
    </row>
    <row r="88" spans="1:5">
      <c r="A88" s="204" t="s">
        <v>172</v>
      </c>
      <c r="B88" s="225">
        <v>356290.39447955223</v>
      </c>
      <c r="C88" s="386">
        <v>1575770113.1582935</v>
      </c>
      <c r="D88" s="225">
        <v>930073478.59606433</v>
      </c>
      <c r="E88" s="226">
        <v>826000801.16185927</v>
      </c>
    </row>
    <row r="89" spans="1:5">
      <c r="A89" s="222" t="s">
        <v>442</v>
      </c>
      <c r="B89" s="223"/>
      <c r="C89" s="387"/>
      <c r="D89" s="223"/>
      <c r="E89" s="224"/>
    </row>
    <row r="90" spans="1:5">
      <c r="A90" s="216" t="s">
        <v>169</v>
      </c>
      <c r="B90" s="217">
        <f>B85*0.35</f>
        <v>74216.106396097777</v>
      </c>
      <c r="C90" s="388">
        <f t="shared" ref="C90:E90" si="51">C85*0.35</f>
        <v>303009657.57332218</v>
      </c>
      <c r="D90" s="217">
        <f t="shared" si="51"/>
        <v>111704177.59252554</v>
      </c>
      <c r="E90" s="218">
        <f t="shared" si="51"/>
        <v>87004902.666228712</v>
      </c>
    </row>
    <row r="91" spans="1:5">
      <c r="A91" s="216" t="s">
        <v>170</v>
      </c>
      <c r="B91" s="217">
        <f t="shared" ref="B91:E93" si="52">B86*0.35</f>
        <v>25150.459393079185</v>
      </c>
      <c r="C91" s="388">
        <f t="shared" si="52"/>
        <v>135134437.23303527</v>
      </c>
      <c r="D91" s="217">
        <f t="shared" si="52"/>
        <v>147355429.1195198</v>
      </c>
      <c r="E91" s="218">
        <f t="shared" si="52"/>
        <v>141423128.62238196</v>
      </c>
    </row>
    <row r="92" spans="1:5">
      <c r="A92" s="216" t="s">
        <v>171</v>
      </c>
      <c r="B92" s="217">
        <f t="shared" si="52"/>
        <v>25335.07227866631</v>
      </c>
      <c r="C92" s="388">
        <f t="shared" si="52"/>
        <v>113375444.79904522</v>
      </c>
      <c r="D92" s="217">
        <f t="shared" si="52"/>
        <v>66466110.796577148</v>
      </c>
      <c r="E92" s="218">
        <f t="shared" si="52"/>
        <v>60672249.118040055</v>
      </c>
    </row>
    <row r="93" spans="1:5">
      <c r="A93" s="219" t="s">
        <v>172</v>
      </c>
      <c r="B93" s="220">
        <f>B88*0.35</f>
        <v>124701.63806784328</v>
      </c>
      <c r="C93" s="389">
        <f t="shared" si="52"/>
        <v>551519539.60540271</v>
      </c>
      <c r="D93" s="220">
        <f t="shared" si="52"/>
        <v>325525717.50862247</v>
      </c>
      <c r="E93" s="221">
        <f t="shared" si="52"/>
        <v>289100280.40665072</v>
      </c>
    </row>
    <row r="103" spans="2:14">
      <c r="C103" s="2" t="s">
        <v>707</v>
      </c>
      <c r="D103" t="s">
        <v>708</v>
      </c>
      <c r="E103" t="s">
        <v>710</v>
      </c>
      <c r="F103" t="s">
        <v>709</v>
      </c>
      <c r="I103" t="s">
        <v>711</v>
      </c>
      <c r="J103" t="s">
        <v>712</v>
      </c>
    </row>
    <row r="104" spans="2:14">
      <c r="B104">
        <v>15439</v>
      </c>
      <c r="C104" s="2">
        <v>8736</v>
      </c>
      <c r="D104">
        <v>1596</v>
      </c>
      <c r="E104" s="5">
        <f>C104*D104</f>
        <v>13942656</v>
      </c>
      <c r="F104" s="5">
        <f>Summary!D8*E104</f>
        <v>58559155.200000003</v>
      </c>
      <c r="G104" s="51">
        <f>F104/8760000</f>
        <v>6.6848350684931512</v>
      </c>
      <c r="I104">
        <v>5924275.278564482</v>
      </c>
      <c r="J104" s="50">
        <f>F104/I104</f>
        <v>9.8846107661272526</v>
      </c>
    </row>
    <row r="110" spans="2:14">
      <c r="C110" s="2" t="s">
        <v>458</v>
      </c>
    </row>
    <row r="111" spans="2:14">
      <c r="C111" s="2" t="s">
        <v>63</v>
      </c>
    </row>
    <row r="112" spans="2:14" s="3" customFormat="1">
      <c r="C112" s="375"/>
      <c r="D112" s="3" t="s">
        <v>61</v>
      </c>
      <c r="E112" s="3" t="s">
        <v>46</v>
      </c>
      <c r="F112" s="3" t="s">
        <v>47</v>
      </c>
      <c r="G112" s="3" t="s">
        <v>48</v>
      </c>
      <c r="H112" s="3" t="s">
        <v>49</v>
      </c>
      <c r="I112" s="3" t="s">
        <v>50</v>
      </c>
      <c r="J112" s="3" t="s">
        <v>51</v>
      </c>
      <c r="K112" s="3" t="s">
        <v>52</v>
      </c>
      <c r="L112" s="3" t="s">
        <v>53</v>
      </c>
      <c r="M112" s="3" t="s">
        <v>54</v>
      </c>
      <c r="N112" s="3" t="s">
        <v>55</v>
      </c>
    </row>
    <row r="113" spans="3:14">
      <c r="C113" s="2" t="s">
        <v>58</v>
      </c>
      <c r="D113" s="12">
        <v>0.75</v>
      </c>
      <c r="E113" s="12">
        <v>0.81</v>
      </c>
      <c r="F113" s="12">
        <v>0.97</v>
      </c>
      <c r="G113" s="12">
        <v>0.97</v>
      </c>
      <c r="H113" s="12">
        <v>0.76</v>
      </c>
      <c r="I113" s="12">
        <v>0.62</v>
      </c>
      <c r="J113" s="12">
        <v>0.84</v>
      </c>
      <c r="K113" s="12">
        <v>0.94</v>
      </c>
      <c r="L113" s="12">
        <v>0.42</v>
      </c>
      <c r="M113" s="12">
        <v>1</v>
      </c>
      <c r="N113" s="12">
        <v>0.77</v>
      </c>
    </row>
    <row r="114" spans="3:14">
      <c r="C114" s="2" t="s">
        <v>56</v>
      </c>
      <c r="D114" s="12">
        <v>0.18</v>
      </c>
      <c r="E114" s="12">
        <v>0.18</v>
      </c>
      <c r="F114" s="12">
        <v>0</v>
      </c>
      <c r="G114" s="12">
        <v>0.01</v>
      </c>
      <c r="H114" s="12">
        <v>0.16</v>
      </c>
      <c r="I114" s="12">
        <v>0.28000000000000003</v>
      </c>
      <c r="J114" s="12">
        <v>7.0000000000000007E-2</v>
      </c>
      <c r="K114" s="12">
        <v>0.03</v>
      </c>
      <c r="L114" s="12">
        <v>0.44</v>
      </c>
      <c r="M114" s="12">
        <v>0</v>
      </c>
      <c r="N114" s="12">
        <v>0.2</v>
      </c>
    </row>
    <row r="115" spans="3:14">
      <c r="C115" s="2" t="s">
        <v>57</v>
      </c>
      <c r="D115" s="12">
        <v>0.05</v>
      </c>
      <c r="E115" s="12">
        <v>0.01</v>
      </c>
      <c r="F115" s="12">
        <v>0</v>
      </c>
      <c r="G115" s="12">
        <v>0</v>
      </c>
      <c r="H115" s="12">
        <v>0.08</v>
      </c>
      <c r="I115" s="12">
        <v>0.1</v>
      </c>
      <c r="J115" s="12">
        <v>0.09</v>
      </c>
      <c r="K115" s="12">
        <v>0</v>
      </c>
      <c r="L115" s="12">
        <v>7.0000000000000007E-2</v>
      </c>
      <c r="M115" s="12">
        <v>0</v>
      </c>
      <c r="N115" s="12">
        <v>0.01</v>
      </c>
    </row>
    <row r="116" spans="3:14">
      <c r="C116" s="2" t="s">
        <v>59</v>
      </c>
      <c r="D116" s="12">
        <v>0.01</v>
      </c>
      <c r="E116" s="12">
        <v>0.01</v>
      </c>
      <c r="F116" s="12">
        <v>0.03</v>
      </c>
      <c r="G116" s="12">
        <v>0.02</v>
      </c>
      <c r="H116" s="12">
        <v>0.01</v>
      </c>
      <c r="I116" s="12">
        <v>0</v>
      </c>
      <c r="J116" s="12">
        <v>0</v>
      </c>
      <c r="K116" s="12">
        <v>0.04</v>
      </c>
      <c r="L116" s="12">
        <v>0</v>
      </c>
      <c r="M116" s="12">
        <v>0</v>
      </c>
      <c r="N116" s="12">
        <v>0</v>
      </c>
    </row>
    <row r="117" spans="3:14">
      <c r="C117" s="2" t="s">
        <v>60</v>
      </c>
      <c r="D117" s="12">
        <v>0</v>
      </c>
      <c r="E117" s="12">
        <v>0</v>
      </c>
      <c r="F117" s="12">
        <v>0</v>
      </c>
      <c r="G117" s="12">
        <v>0</v>
      </c>
      <c r="H117" s="12">
        <v>0</v>
      </c>
      <c r="I117" s="12">
        <v>0</v>
      </c>
      <c r="J117" s="12">
        <v>0</v>
      </c>
      <c r="K117" s="12">
        <v>0</v>
      </c>
      <c r="L117" s="12">
        <v>0.01</v>
      </c>
      <c r="M117" s="12">
        <v>0</v>
      </c>
      <c r="N117" s="12">
        <v>0.01</v>
      </c>
    </row>
    <row r="118" spans="3:14">
      <c r="C118" s="2" t="s">
        <v>62</v>
      </c>
      <c r="D118" s="12">
        <v>0</v>
      </c>
      <c r="E118" s="12">
        <v>0</v>
      </c>
      <c r="F118" s="12">
        <v>0</v>
      </c>
      <c r="G118" s="12">
        <v>0</v>
      </c>
      <c r="H118" s="12">
        <v>0</v>
      </c>
      <c r="I118" s="12">
        <v>0</v>
      </c>
      <c r="J118" s="12">
        <v>0</v>
      </c>
      <c r="K118" s="12">
        <v>0</v>
      </c>
      <c r="L118" s="12">
        <v>0.06</v>
      </c>
      <c r="M118" s="12">
        <v>0</v>
      </c>
      <c r="N118" s="12">
        <v>0</v>
      </c>
    </row>
    <row r="119" spans="3:14">
      <c r="D119" s="11">
        <f>SUM(D113:D118)</f>
        <v>0.99</v>
      </c>
      <c r="E119" s="11">
        <f t="shared" ref="E119:N119" si="53">SUM(E113:E118)</f>
        <v>1.01</v>
      </c>
      <c r="F119" s="11">
        <f t="shared" si="53"/>
        <v>1</v>
      </c>
      <c r="G119" s="11">
        <f t="shared" si="53"/>
        <v>1</v>
      </c>
      <c r="H119" s="11">
        <f t="shared" si="53"/>
        <v>1.01</v>
      </c>
      <c r="I119" s="11">
        <f t="shared" si="53"/>
        <v>1</v>
      </c>
      <c r="J119" s="11">
        <f t="shared" si="53"/>
        <v>0.99999999999999989</v>
      </c>
      <c r="K119" s="11">
        <f t="shared" si="53"/>
        <v>1.01</v>
      </c>
      <c r="L119" s="11">
        <f t="shared" si="53"/>
        <v>1</v>
      </c>
      <c r="M119" s="11">
        <f t="shared" si="53"/>
        <v>1</v>
      </c>
      <c r="N119" s="11">
        <f t="shared" si="53"/>
        <v>0.99</v>
      </c>
    </row>
    <row r="123" spans="3:14">
      <c r="C123" s="2" t="s">
        <v>104</v>
      </c>
    </row>
    <row r="124" spans="3:14">
      <c r="C124" s="2" t="s">
        <v>105</v>
      </c>
      <c r="D124" s="5">
        <v>513039.38429757615</v>
      </c>
    </row>
    <row r="125" spans="3:14">
      <c r="C125" s="2" t="s">
        <v>106</v>
      </c>
      <c r="D125" s="5">
        <v>2319052.8364016614</v>
      </c>
    </row>
  </sheetData>
  <sortState ref="W33:AG42">
    <sortCondition ref="W33"/>
  </sortState>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sheetPr codeName="Sheet8"/>
  <dimension ref="A2:AB616"/>
  <sheetViews>
    <sheetView topLeftCell="A19" workbookViewId="0">
      <selection activeCell="F16" sqref="F16"/>
    </sheetView>
  </sheetViews>
  <sheetFormatPr defaultRowHeight="12.75"/>
  <cols>
    <col min="7" max="7" width="13.5703125" customWidth="1"/>
    <col min="8" max="8" width="14.42578125" customWidth="1"/>
    <col min="9" max="9" width="10.85546875" customWidth="1"/>
    <col min="27" max="27" width="14.42578125" customWidth="1"/>
  </cols>
  <sheetData>
    <row r="2" spans="1:28">
      <c r="C2" t="s">
        <v>19</v>
      </c>
    </row>
    <row r="5" spans="1:28" ht="51">
      <c r="E5" s="3"/>
      <c r="F5" s="4" t="s">
        <v>0</v>
      </c>
      <c r="G5" s="4" t="s">
        <v>1</v>
      </c>
      <c r="H5" s="4" t="s">
        <v>2</v>
      </c>
      <c r="I5" s="4" t="s">
        <v>3</v>
      </c>
      <c r="J5" s="4" t="s">
        <v>4</v>
      </c>
      <c r="K5" s="4" t="s">
        <v>5</v>
      </c>
      <c r="L5" s="4" t="s">
        <v>4</v>
      </c>
      <c r="M5" s="4" t="s">
        <v>5</v>
      </c>
      <c r="N5" s="4" t="s">
        <v>4</v>
      </c>
      <c r="O5" s="4" t="s">
        <v>5</v>
      </c>
      <c r="Q5" s="4" t="s">
        <v>16</v>
      </c>
      <c r="R5" s="3" t="s">
        <v>18</v>
      </c>
      <c r="T5" s="3" t="s">
        <v>26</v>
      </c>
      <c r="V5" s="415" t="s">
        <v>103</v>
      </c>
      <c r="W5" s="415"/>
      <c r="X5" s="415"/>
      <c r="Y5" s="415"/>
    </row>
    <row r="6" spans="1:28">
      <c r="F6">
        <v>1</v>
      </c>
      <c r="G6">
        <f>F6+1</f>
        <v>2</v>
      </c>
      <c r="H6">
        <f t="shared" ref="H6:N6" si="0">G6+1</f>
        <v>3</v>
      </c>
      <c r="I6">
        <f t="shared" si="0"/>
        <v>4</v>
      </c>
      <c r="J6">
        <f t="shared" si="0"/>
        <v>5</v>
      </c>
      <c r="K6">
        <f t="shared" si="0"/>
        <v>6</v>
      </c>
      <c r="L6">
        <f t="shared" si="0"/>
        <v>7</v>
      </c>
      <c r="M6">
        <f t="shared" si="0"/>
        <v>8</v>
      </c>
      <c r="N6">
        <f t="shared" si="0"/>
        <v>9</v>
      </c>
      <c r="O6">
        <f>N6+1</f>
        <v>10</v>
      </c>
      <c r="T6" s="10"/>
      <c r="V6" s="37"/>
      <c r="W6" s="38"/>
      <c r="X6" s="38"/>
      <c r="Y6" s="39"/>
      <c r="AB6" t="s">
        <v>0</v>
      </c>
    </row>
    <row r="7" spans="1:28">
      <c r="A7">
        <v>1</v>
      </c>
      <c r="B7">
        <v>1</v>
      </c>
      <c r="C7">
        <v>1</v>
      </c>
      <c r="D7">
        <v>202</v>
      </c>
      <c r="E7">
        <v>0</v>
      </c>
      <c r="F7">
        <f>VLOOKUP(F$6,$C$7:$D$16,2,FALSE)</f>
        <v>202</v>
      </c>
      <c r="G7">
        <f t="shared" ref="G7:O7" si="1">VLOOKUP(G$6,$C$7:$D$16,2,FALSE)</f>
        <v>10</v>
      </c>
      <c r="H7">
        <f t="shared" si="1"/>
        <v>12327</v>
      </c>
      <c r="I7">
        <f t="shared" si="1"/>
        <v>4992</v>
      </c>
      <c r="J7">
        <f t="shared" si="1"/>
        <v>616</v>
      </c>
      <c r="K7">
        <f t="shared" si="1"/>
        <v>6.9</v>
      </c>
      <c r="L7">
        <f>VLOOKUP(L$6,$C$7:$D$16,2,FALSE)</f>
        <v>1233</v>
      </c>
      <c r="M7">
        <f t="shared" si="1"/>
        <v>3.4</v>
      </c>
      <c r="N7">
        <f t="shared" si="1"/>
        <v>1849</v>
      </c>
      <c r="O7">
        <f t="shared" si="1"/>
        <v>2.2999999999999998</v>
      </c>
      <c r="Q7">
        <f>VLOOKUP(G7,Cost!$B$12:$C$36,2)</f>
        <v>3350</v>
      </c>
      <c r="R7" s="6">
        <f>-PMT(0.04,Summary!$D$46,Q7)/H7*1000</f>
        <v>24.442499086781858</v>
      </c>
      <c r="T7" s="10">
        <f>H7/G7</f>
        <v>1232.7</v>
      </c>
      <c r="V7" s="40">
        <f>AVERAGE(T7:T67)</f>
        <v>935.15282331511798</v>
      </c>
      <c r="W7" s="41" t="s">
        <v>26</v>
      </c>
      <c r="X7" s="41"/>
      <c r="Y7" s="42"/>
      <c r="AB7" t="s">
        <v>81</v>
      </c>
    </row>
    <row r="8" spans="1:28">
      <c r="A8">
        <v>1</v>
      </c>
      <c r="B8">
        <f>B7+1</f>
        <v>2</v>
      </c>
      <c r="C8">
        <f>C7+1</f>
        <v>2</v>
      </c>
      <c r="D8">
        <v>10</v>
      </c>
      <c r="E8">
        <f>E7+10</f>
        <v>10</v>
      </c>
      <c r="F8">
        <f>VLOOKUP($E8+F$6,$C$7:$D$26,2,FALSE)</f>
        <v>203</v>
      </c>
      <c r="G8">
        <f t="shared" ref="G8:O8" si="2">VLOOKUP($E8+G$6,$C$7:$D$26,2,FALSE)</f>
        <v>10</v>
      </c>
      <c r="H8">
        <f t="shared" si="2"/>
        <v>6913</v>
      </c>
      <c r="I8">
        <f t="shared" si="2"/>
        <v>4992</v>
      </c>
      <c r="J8">
        <f t="shared" si="2"/>
        <v>346</v>
      </c>
      <c r="K8">
        <f t="shared" si="2"/>
        <v>12.3</v>
      </c>
      <c r="L8">
        <f t="shared" si="2"/>
        <v>691</v>
      </c>
      <c r="M8">
        <f t="shared" si="2"/>
        <v>6.1</v>
      </c>
      <c r="N8">
        <f t="shared" si="2"/>
        <v>1037</v>
      </c>
      <c r="O8">
        <f t="shared" si="2"/>
        <v>4.0999999999999996</v>
      </c>
      <c r="Q8">
        <f>VLOOKUP(G8,Cost!$B$12:$C$36,2)</f>
        <v>3350</v>
      </c>
      <c r="R8" s="6">
        <f>-PMT(0.04,Summary!$D$46,Q8)/H8*1000</f>
        <v>43.584939424672356</v>
      </c>
      <c r="T8" s="10">
        <f t="shared" ref="T8:T67" si="3">H8/G8</f>
        <v>691.3</v>
      </c>
      <c r="V8" s="43">
        <v>400</v>
      </c>
      <c r="W8" s="41" t="s">
        <v>27</v>
      </c>
      <c r="X8" s="41" t="s">
        <v>35</v>
      </c>
      <c r="Y8" s="42"/>
      <c r="AB8" t="s">
        <v>82</v>
      </c>
    </row>
    <row r="9" spans="1:28">
      <c r="A9">
        <v>1</v>
      </c>
      <c r="B9">
        <f t="shared" ref="B9:B16" si="4">B8+1</f>
        <v>3</v>
      </c>
      <c r="C9">
        <f t="shared" ref="C9:C72" si="5">C8+1</f>
        <v>3</v>
      </c>
      <c r="D9" s="1">
        <v>12327</v>
      </c>
      <c r="E9">
        <f t="shared" ref="E9:E72" si="6">E8+10</f>
        <v>20</v>
      </c>
      <c r="F9">
        <f>VLOOKUP(($E9+F$6),$C$7:$D$96,2,FALSE)</f>
        <v>204</v>
      </c>
      <c r="G9">
        <f t="shared" ref="G9:O10" si="7">VLOOKUP(($E9+G$6),$C$7:$D$96,2,FALSE)</f>
        <v>10</v>
      </c>
      <c r="H9">
        <f t="shared" si="7"/>
        <v>10889</v>
      </c>
      <c r="I9">
        <f t="shared" si="7"/>
        <v>5460</v>
      </c>
      <c r="J9">
        <f t="shared" si="7"/>
        <v>544</v>
      </c>
      <c r="K9">
        <f t="shared" si="7"/>
        <v>7.8</v>
      </c>
      <c r="L9">
        <f t="shared" si="7"/>
        <v>1089</v>
      </c>
      <c r="M9">
        <f t="shared" si="7"/>
        <v>3.9</v>
      </c>
      <c r="N9">
        <f t="shared" si="7"/>
        <v>1633</v>
      </c>
      <c r="O9">
        <f t="shared" si="7"/>
        <v>2.6</v>
      </c>
      <c r="Q9">
        <f>VLOOKUP(G9,Cost!$B$12:$C$36,2)</f>
        <v>3350</v>
      </c>
      <c r="R9" s="6">
        <f>-PMT(0.04,Summary!$D$46,Q9)/H9*1000</f>
        <v>27.670372508289098</v>
      </c>
      <c r="T9" s="10">
        <f t="shared" si="3"/>
        <v>1088.9000000000001</v>
      </c>
      <c r="V9" s="44">
        <f>V7/V8</f>
        <v>2.3378820582877951</v>
      </c>
      <c r="W9" s="41" t="s">
        <v>28</v>
      </c>
      <c r="X9" s="41" t="s">
        <v>29</v>
      </c>
      <c r="Y9" s="42" t="s">
        <v>33</v>
      </c>
      <c r="AB9" t="s">
        <v>83</v>
      </c>
    </row>
    <row r="10" spans="1:28">
      <c r="A10">
        <v>1</v>
      </c>
      <c r="B10">
        <f t="shared" si="4"/>
        <v>4</v>
      </c>
      <c r="C10">
        <f t="shared" si="5"/>
        <v>4</v>
      </c>
      <c r="D10" s="1">
        <v>4992</v>
      </c>
      <c r="E10">
        <f t="shared" si="6"/>
        <v>30</v>
      </c>
      <c r="F10">
        <f t="shared" ref="F10" si="8">VLOOKUP(($E10+F$6),$C$7:$D$96,2,FALSE)</f>
        <v>205</v>
      </c>
      <c r="G10">
        <f t="shared" si="7"/>
        <v>15</v>
      </c>
      <c r="H10">
        <f t="shared" si="7"/>
        <v>8611</v>
      </c>
      <c r="I10">
        <f t="shared" si="7"/>
        <v>5460</v>
      </c>
      <c r="J10">
        <f t="shared" si="7"/>
        <v>431</v>
      </c>
      <c r="K10">
        <f t="shared" si="7"/>
        <v>9.9</v>
      </c>
      <c r="L10">
        <f t="shared" si="7"/>
        <v>861</v>
      </c>
      <c r="M10">
        <f t="shared" si="7"/>
        <v>4.9000000000000004</v>
      </c>
      <c r="N10">
        <f t="shared" si="7"/>
        <v>1292</v>
      </c>
      <c r="O10">
        <f t="shared" si="7"/>
        <v>3.3</v>
      </c>
      <c r="Q10">
        <f>VLOOKUP(G10,Cost!$B$12:$C$36,2)</f>
        <v>4250</v>
      </c>
      <c r="R10" s="6">
        <f>-PMT(0.04,Summary!$D$46,Q10)/H10*1000</f>
        <v>44.39085780706489</v>
      </c>
      <c r="T10" s="10">
        <f t="shared" si="3"/>
        <v>574.06666666666672</v>
      </c>
      <c r="V10" s="43">
        <v>3.3</v>
      </c>
      <c r="W10" s="41" t="s">
        <v>30</v>
      </c>
      <c r="X10" s="41"/>
      <c r="Y10" s="42"/>
      <c r="AB10" t="s">
        <v>84</v>
      </c>
    </row>
    <row r="11" spans="1:28">
      <c r="A11">
        <v>1</v>
      </c>
      <c r="B11">
        <f t="shared" si="4"/>
        <v>5</v>
      </c>
      <c r="C11">
        <f t="shared" si="5"/>
        <v>5</v>
      </c>
      <c r="D11">
        <v>616</v>
      </c>
      <c r="E11">
        <f t="shared" si="6"/>
        <v>40</v>
      </c>
      <c r="F11">
        <f>VLOOKUP(($E11+F$6),$C$7:$D$1000,2,FALSE)</f>
        <v>206</v>
      </c>
      <c r="G11">
        <f t="shared" ref="G11:O26" si="9">VLOOKUP(($E11+G$6),$C$7:$D$1000,2,FALSE)</f>
        <v>10</v>
      </c>
      <c r="H11">
        <f t="shared" si="9"/>
        <v>10014</v>
      </c>
      <c r="I11">
        <f t="shared" si="9"/>
        <v>5460</v>
      </c>
      <c r="J11">
        <f t="shared" si="9"/>
        <v>501</v>
      </c>
      <c r="K11">
        <f t="shared" si="9"/>
        <v>8.5</v>
      </c>
      <c r="L11">
        <f t="shared" si="9"/>
        <v>1001</v>
      </c>
      <c r="M11">
        <f t="shared" si="9"/>
        <v>4.2</v>
      </c>
      <c r="N11">
        <f t="shared" si="9"/>
        <v>1502</v>
      </c>
      <c r="O11">
        <f t="shared" si="9"/>
        <v>2.8</v>
      </c>
      <c r="Q11">
        <f>VLOOKUP(G11,Cost!$B$12:$C$36,2)</f>
        <v>3350</v>
      </c>
      <c r="R11" s="6">
        <f>-PMT(0.04,Summary!$D$46,Q11)/H11*1000</f>
        <v>30.088145220966645</v>
      </c>
      <c r="T11" s="10">
        <f t="shared" si="3"/>
        <v>1001.4</v>
      </c>
      <c r="V11" s="45">
        <v>0.75</v>
      </c>
      <c r="W11" s="41" t="s">
        <v>31</v>
      </c>
      <c r="X11" s="41"/>
      <c r="Y11" s="42"/>
      <c r="AB11" t="s">
        <v>85</v>
      </c>
    </row>
    <row r="12" spans="1:28">
      <c r="A12">
        <v>1</v>
      </c>
      <c r="B12">
        <f t="shared" si="4"/>
        <v>6</v>
      </c>
      <c r="C12">
        <f t="shared" si="5"/>
        <v>6</v>
      </c>
      <c r="D12">
        <v>6.9</v>
      </c>
      <c r="E12">
        <f t="shared" si="6"/>
        <v>50</v>
      </c>
      <c r="F12">
        <f t="shared" ref="F12:O43" si="10">VLOOKUP(($E12+F$6),$C$7:$D$1000,2,FALSE)</f>
        <v>207</v>
      </c>
      <c r="G12">
        <f t="shared" si="9"/>
        <v>25</v>
      </c>
      <c r="H12">
        <f t="shared" si="9"/>
        <v>36876</v>
      </c>
      <c r="I12">
        <f t="shared" si="9"/>
        <v>5460</v>
      </c>
      <c r="J12">
        <f t="shared" si="9"/>
        <v>1844</v>
      </c>
      <c r="K12">
        <f t="shared" si="9"/>
        <v>2.7</v>
      </c>
      <c r="L12">
        <f t="shared" si="9"/>
        <v>3688</v>
      </c>
      <c r="M12">
        <f t="shared" si="9"/>
        <v>1.3</v>
      </c>
      <c r="N12">
        <f t="shared" si="9"/>
        <v>5531</v>
      </c>
      <c r="O12">
        <f t="shared" si="9"/>
        <v>0.9</v>
      </c>
      <c r="Q12">
        <f>VLOOKUP(G12,Cost!$B$12:$C$36,2)</f>
        <v>4892</v>
      </c>
      <c r="R12" s="6">
        <f>-PMT(0.04,Summary!$D$46,Q12)/H12*1000</f>
        <v>11.931659155407326</v>
      </c>
      <c r="T12" s="10">
        <f t="shared" si="3"/>
        <v>1475.04</v>
      </c>
      <c r="V12" s="45">
        <v>0.75</v>
      </c>
      <c r="W12" s="41" t="s">
        <v>32</v>
      </c>
      <c r="X12" s="41"/>
      <c r="Y12" s="42"/>
      <c r="AB12" t="s">
        <v>86</v>
      </c>
    </row>
    <row r="13" spans="1:28">
      <c r="A13">
        <v>1</v>
      </c>
      <c r="B13">
        <f t="shared" si="4"/>
        <v>7</v>
      </c>
      <c r="C13">
        <f t="shared" si="5"/>
        <v>7</v>
      </c>
      <c r="D13" s="1">
        <v>1233</v>
      </c>
      <c r="E13">
        <f t="shared" si="6"/>
        <v>60</v>
      </c>
      <c r="F13">
        <f t="shared" si="10"/>
        <v>209</v>
      </c>
      <c r="G13">
        <f t="shared" si="9"/>
        <v>5</v>
      </c>
      <c r="H13">
        <f t="shared" si="9"/>
        <v>4957</v>
      </c>
      <c r="I13">
        <f t="shared" si="9"/>
        <v>5460</v>
      </c>
      <c r="J13">
        <f t="shared" si="9"/>
        <v>248</v>
      </c>
      <c r="K13">
        <f t="shared" si="9"/>
        <v>11.9</v>
      </c>
      <c r="L13">
        <f t="shared" si="9"/>
        <v>496</v>
      </c>
      <c r="M13">
        <f t="shared" si="9"/>
        <v>6</v>
      </c>
      <c r="N13">
        <f t="shared" si="9"/>
        <v>744</v>
      </c>
      <c r="O13">
        <f t="shared" si="9"/>
        <v>4</v>
      </c>
      <c r="Q13">
        <f>VLOOKUP(G13,Cost!$B$12:$C$36,2)</f>
        <v>2950</v>
      </c>
      <c r="R13" s="6">
        <f>-PMT(0.04,Summary!$D$46,Q13)/H13*1000</f>
        <v>53.525569113248096</v>
      </c>
      <c r="T13" s="10">
        <f t="shared" si="3"/>
        <v>991.4</v>
      </c>
      <c r="V13" s="46"/>
      <c r="W13" s="41"/>
      <c r="X13" s="41"/>
      <c r="Y13" s="42"/>
      <c r="AB13" t="s">
        <v>87</v>
      </c>
    </row>
    <row r="14" spans="1:28">
      <c r="A14">
        <v>1</v>
      </c>
      <c r="B14">
        <f t="shared" si="4"/>
        <v>8</v>
      </c>
      <c r="C14">
        <f t="shared" si="5"/>
        <v>8</v>
      </c>
      <c r="D14">
        <v>3.4</v>
      </c>
      <c r="E14">
        <f t="shared" si="6"/>
        <v>70</v>
      </c>
      <c r="F14">
        <f t="shared" si="10"/>
        <v>210</v>
      </c>
      <c r="G14">
        <f t="shared" si="9"/>
        <v>25</v>
      </c>
      <c r="H14">
        <f t="shared" si="9"/>
        <v>37919</v>
      </c>
      <c r="I14">
        <f t="shared" si="9"/>
        <v>5460</v>
      </c>
      <c r="J14">
        <f t="shared" si="9"/>
        <v>1896</v>
      </c>
      <c r="K14">
        <f t="shared" si="9"/>
        <v>2.6</v>
      </c>
      <c r="L14">
        <f t="shared" si="9"/>
        <v>3792</v>
      </c>
      <c r="M14">
        <f t="shared" si="9"/>
        <v>1.3</v>
      </c>
      <c r="N14">
        <f t="shared" si="9"/>
        <v>5688</v>
      </c>
      <c r="O14">
        <f t="shared" si="9"/>
        <v>0.9</v>
      </c>
      <c r="Q14">
        <f>VLOOKUP(G14,Cost!$B$12:$C$36,2)</f>
        <v>4892</v>
      </c>
      <c r="R14" s="6">
        <f>-PMT(0.04,Summary!$D$46,Q14)/H14*1000</f>
        <v>11.603466943083959</v>
      </c>
      <c r="T14" s="10">
        <f t="shared" si="3"/>
        <v>1516.76</v>
      </c>
      <c r="V14" s="47">
        <f>V9*V10*1000000000*V11*V12/8760/1000</f>
        <v>495.39880944026476</v>
      </c>
      <c r="W14" s="48" t="s">
        <v>34</v>
      </c>
      <c r="X14" s="48" t="s">
        <v>36</v>
      </c>
      <c r="Y14" s="49" t="s">
        <v>33</v>
      </c>
      <c r="AB14" t="s">
        <v>88</v>
      </c>
    </row>
    <row r="15" spans="1:28">
      <c r="A15">
        <v>1</v>
      </c>
      <c r="B15">
        <f t="shared" si="4"/>
        <v>9</v>
      </c>
      <c r="C15">
        <f t="shared" si="5"/>
        <v>9</v>
      </c>
      <c r="D15" s="1">
        <v>1849</v>
      </c>
      <c r="E15">
        <f t="shared" si="6"/>
        <v>80</v>
      </c>
      <c r="F15">
        <f t="shared" si="10"/>
        <v>212</v>
      </c>
      <c r="G15">
        <f t="shared" si="9"/>
        <v>25</v>
      </c>
      <c r="H15">
        <f t="shared" si="9"/>
        <v>36750</v>
      </c>
      <c r="I15">
        <f t="shared" si="9"/>
        <v>5096</v>
      </c>
      <c r="J15">
        <f t="shared" si="9"/>
        <v>1837</v>
      </c>
      <c r="K15">
        <f t="shared" si="9"/>
        <v>2.7</v>
      </c>
      <c r="L15">
        <f t="shared" si="9"/>
        <v>3675</v>
      </c>
      <c r="M15">
        <f t="shared" si="9"/>
        <v>1.3</v>
      </c>
      <c r="N15">
        <f t="shared" si="9"/>
        <v>5512</v>
      </c>
      <c r="O15">
        <f t="shared" si="9"/>
        <v>0.9</v>
      </c>
      <c r="Q15">
        <f>VLOOKUP(G15,Cost!$B$12:$C$36,2)</f>
        <v>4892</v>
      </c>
      <c r="R15" s="6">
        <f>-PMT(0.04,Summary!$D$46,Q15)/H15*1000</f>
        <v>11.97256770108301</v>
      </c>
      <c r="T15" s="10">
        <f t="shared" si="3"/>
        <v>1470</v>
      </c>
      <c r="AB15" t="s">
        <v>89</v>
      </c>
    </row>
    <row r="16" spans="1:28">
      <c r="A16">
        <v>1</v>
      </c>
      <c r="B16">
        <f t="shared" si="4"/>
        <v>10</v>
      </c>
      <c r="C16">
        <f t="shared" si="5"/>
        <v>10</v>
      </c>
      <c r="D16">
        <v>2.2999999999999998</v>
      </c>
      <c r="E16">
        <f t="shared" si="6"/>
        <v>90</v>
      </c>
      <c r="F16">
        <f t="shared" si="10"/>
        <v>213</v>
      </c>
      <c r="G16">
        <f t="shared" si="9"/>
        <v>15</v>
      </c>
      <c r="H16">
        <f t="shared" si="9"/>
        <v>13720</v>
      </c>
      <c r="I16">
        <f t="shared" si="9"/>
        <v>5096</v>
      </c>
      <c r="J16">
        <f t="shared" si="9"/>
        <v>686</v>
      </c>
      <c r="K16">
        <f t="shared" si="9"/>
        <v>6.2</v>
      </c>
      <c r="L16">
        <f t="shared" si="9"/>
        <v>1372</v>
      </c>
      <c r="M16">
        <f t="shared" si="9"/>
        <v>3.1</v>
      </c>
      <c r="N16">
        <f t="shared" si="9"/>
        <v>2058</v>
      </c>
      <c r="O16">
        <f t="shared" si="9"/>
        <v>2.1</v>
      </c>
      <c r="Q16">
        <f>VLOOKUP(G16,Cost!$B$12:$C$36,2)</f>
        <v>4250</v>
      </c>
      <c r="R16" s="6">
        <f>-PMT(0.04,Summary!$D$46,Q16)/H16*1000</f>
        <v>27.860763598880162</v>
      </c>
      <c r="T16" s="10">
        <f t="shared" si="3"/>
        <v>914.66666666666663</v>
      </c>
      <c r="V16" t="s">
        <v>451</v>
      </c>
      <c r="AB16" t="s">
        <v>90</v>
      </c>
    </row>
    <row r="17" spans="1:28">
      <c r="A17">
        <f>A7+1</f>
        <v>2</v>
      </c>
      <c r="B17">
        <f>B7</f>
        <v>1</v>
      </c>
      <c r="C17">
        <f t="shared" si="5"/>
        <v>11</v>
      </c>
      <c r="D17">
        <v>203</v>
      </c>
      <c r="E17">
        <f t="shared" si="6"/>
        <v>100</v>
      </c>
      <c r="F17">
        <f t="shared" si="10"/>
        <v>214</v>
      </c>
      <c r="G17">
        <f t="shared" si="9"/>
        <v>10</v>
      </c>
      <c r="H17">
        <f t="shared" si="9"/>
        <v>8109</v>
      </c>
      <c r="I17">
        <f t="shared" si="9"/>
        <v>4992</v>
      </c>
      <c r="J17">
        <f t="shared" si="9"/>
        <v>405</v>
      </c>
      <c r="K17">
        <f t="shared" si="9"/>
        <v>8.3000000000000007</v>
      </c>
      <c r="L17">
        <f t="shared" si="9"/>
        <v>811</v>
      </c>
      <c r="M17">
        <f t="shared" si="9"/>
        <v>4.0999999999999996</v>
      </c>
      <c r="N17">
        <f t="shared" si="9"/>
        <v>1216</v>
      </c>
      <c r="O17">
        <f t="shared" si="9"/>
        <v>2.8</v>
      </c>
      <c r="Q17">
        <f>VLOOKUP(G17,Cost!$B$12:$C$36,2)</f>
        <v>3350</v>
      </c>
      <c r="R17" s="6">
        <f>-PMT(0.04,Summary!$D$46,Q17)/H17*1000</f>
        <v>37.156577413091625</v>
      </c>
      <c r="T17" s="10">
        <f t="shared" si="3"/>
        <v>810.9</v>
      </c>
      <c r="V17" s="11">
        <v>0.35</v>
      </c>
      <c r="AB17" t="s">
        <v>91</v>
      </c>
    </row>
    <row r="18" spans="1:28">
      <c r="A18">
        <f t="shared" ref="A18:A81" si="11">A8+1</f>
        <v>2</v>
      </c>
      <c r="B18">
        <f t="shared" ref="B18:B81" si="12">B8</f>
        <v>2</v>
      </c>
      <c r="C18">
        <f t="shared" si="5"/>
        <v>12</v>
      </c>
      <c r="D18">
        <v>10</v>
      </c>
      <c r="E18">
        <f t="shared" si="6"/>
        <v>110</v>
      </c>
      <c r="F18">
        <f t="shared" si="10"/>
        <v>215</v>
      </c>
      <c r="G18">
        <f t="shared" si="9"/>
        <v>10</v>
      </c>
      <c r="H18">
        <f t="shared" si="9"/>
        <v>6293</v>
      </c>
      <c r="I18">
        <f t="shared" si="9"/>
        <v>4992</v>
      </c>
      <c r="J18">
        <f t="shared" si="9"/>
        <v>315</v>
      </c>
      <c r="K18">
        <f t="shared" si="9"/>
        <v>13.5</v>
      </c>
      <c r="L18">
        <f t="shared" si="9"/>
        <v>629</v>
      </c>
      <c r="M18">
        <f t="shared" si="9"/>
        <v>6.8</v>
      </c>
      <c r="N18">
        <f t="shared" si="9"/>
        <v>944</v>
      </c>
      <c r="O18">
        <f t="shared" si="9"/>
        <v>4.5</v>
      </c>
      <c r="Q18">
        <f>VLOOKUP(G18,Cost!$B$12:$C$36,2)</f>
        <v>3350</v>
      </c>
      <c r="R18" s="6">
        <f>-PMT(0.04,Summary!$D$46,Q18)/H18*1000</f>
        <v>47.879022126610522</v>
      </c>
      <c r="T18" s="10">
        <f t="shared" si="3"/>
        <v>629.29999999999995</v>
      </c>
      <c r="AB18">
        <v>202</v>
      </c>
    </row>
    <row r="19" spans="1:28">
      <c r="A19">
        <f t="shared" si="11"/>
        <v>2</v>
      </c>
      <c r="B19">
        <f t="shared" si="12"/>
        <v>3</v>
      </c>
      <c r="C19">
        <f t="shared" si="5"/>
        <v>13</v>
      </c>
      <c r="D19" s="1">
        <v>6913</v>
      </c>
      <c r="E19">
        <f t="shared" si="6"/>
        <v>120</v>
      </c>
      <c r="F19">
        <f t="shared" si="10"/>
        <v>217</v>
      </c>
      <c r="G19">
        <f t="shared" si="9"/>
        <v>10</v>
      </c>
      <c r="H19">
        <f t="shared" si="9"/>
        <v>6334</v>
      </c>
      <c r="I19">
        <f t="shared" si="9"/>
        <v>5096</v>
      </c>
      <c r="J19">
        <f t="shared" si="9"/>
        <v>317</v>
      </c>
      <c r="K19">
        <f t="shared" si="9"/>
        <v>13.4</v>
      </c>
      <c r="L19">
        <f t="shared" si="9"/>
        <v>633</v>
      </c>
      <c r="M19">
        <f t="shared" si="9"/>
        <v>6.7</v>
      </c>
      <c r="N19">
        <f t="shared" si="9"/>
        <v>950</v>
      </c>
      <c r="O19">
        <f t="shared" si="9"/>
        <v>4.5</v>
      </c>
      <c r="Q19">
        <f>VLOOKUP(G19,Cost!$B$12:$C$36,2)</f>
        <v>3350</v>
      </c>
      <c r="R19" s="6">
        <f>-PMT(0.04,Summary!$D$46,Q19)/H19*1000</f>
        <v>47.569101080322071</v>
      </c>
      <c r="T19" s="10">
        <f t="shared" si="3"/>
        <v>633.4</v>
      </c>
      <c r="AB19" t="s">
        <v>92</v>
      </c>
    </row>
    <row r="20" spans="1:28">
      <c r="A20">
        <f t="shared" si="11"/>
        <v>2</v>
      </c>
      <c r="B20">
        <f t="shared" si="12"/>
        <v>4</v>
      </c>
      <c r="C20">
        <f t="shared" si="5"/>
        <v>14</v>
      </c>
      <c r="D20" s="1">
        <v>4992</v>
      </c>
      <c r="E20">
        <f t="shared" si="6"/>
        <v>130</v>
      </c>
      <c r="F20">
        <f t="shared" si="10"/>
        <v>218</v>
      </c>
      <c r="G20">
        <f t="shared" si="9"/>
        <v>10</v>
      </c>
      <c r="H20">
        <f t="shared" si="9"/>
        <v>10383</v>
      </c>
      <c r="I20">
        <f t="shared" si="9"/>
        <v>5460</v>
      </c>
      <c r="J20">
        <f t="shared" si="9"/>
        <v>519</v>
      </c>
      <c r="K20">
        <f t="shared" si="9"/>
        <v>8.1999999999999993</v>
      </c>
      <c r="L20">
        <f t="shared" si="9"/>
        <v>1038</v>
      </c>
      <c r="M20">
        <f t="shared" si="9"/>
        <v>4.0999999999999996</v>
      </c>
      <c r="N20">
        <f t="shared" si="9"/>
        <v>1557</v>
      </c>
      <c r="O20">
        <f t="shared" si="9"/>
        <v>2.7</v>
      </c>
      <c r="Q20">
        <f>VLOOKUP(G20,Cost!$B$12:$C$36,2)</f>
        <v>3350</v>
      </c>
      <c r="R20" s="6">
        <f>-PMT(0.04,Summary!$D$46,Q20)/H20*1000</f>
        <v>29.018846792137143</v>
      </c>
      <c r="T20" s="10">
        <f t="shared" si="3"/>
        <v>1038.3</v>
      </c>
      <c r="V20">
        <f>V14*V17</f>
        <v>173.38958330409267</v>
      </c>
      <c r="AB20">
        <v>10</v>
      </c>
    </row>
    <row r="21" spans="1:28">
      <c r="A21">
        <f t="shared" si="11"/>
        <v>2</v>
      </c>
      <c r="B21">
        <f t="shared" si="12"/>
        <v>5</v>
      </c>
      <c r="C21">
        <f t="shared" si="5"/>
        <v>15</v>
      </c>
      <c r="D21">
        <v>346</v>
      </c>
      <c r="E21">
        <f t="shared" si="6"/>
        <v>140</v>
      </c>
      <c r="F21">
        <f t="shared" si="10"/>
        <v>219</v>
      </c>
      <c r="G21">
        <f t="shared" si="9"/>
        <v>15</v>
      </c>
      <c r="H21">
        <f t="shared" si="9"/>
        <v>2369</v>
      </c>
      <c r="I21">
        <f t="shared" si="9"/>
        <v>4992</v>
      </c>
      <c r="J21">
        <f t="shared" si="9"/>
        <v>118</v>
      </c>
      <c r="K21">
        <f t="shared" si="9"/>
        <v>28.3</v>
      </c>
      <c r="L21">
        <f t="shared" si="9"/>
        <v>237</v>
      </c>
      <c r="M21">
        <f t="shared" si="9"/>
        <v>14.1</v>
      </c>
      <c r="N21">
        <f t="shared" si="9"/>
        <v>355</v>
      </c>
      <c r="O21">
        <f t="shared" si="9"/>
        <v>9.4</v>
      </c>
      <c r="Q21">
        <f>VLOOKUP(G21,Cost!$B$12:$C$36,2)</f>
        <v>4250</v>
      </c>
      <c r="R21" s="6">
        <f>-PMT(0.04,Summary!$D$46,Q21)/H21*1000</f>
        <v>161.35486558743597</v>
      </c>
      <c r="T21" s="10">
        <f t="shared" si="3"/>
        <v>157.93333333333334</v>
      </c>
      <c r="AB21">
        <v>3.7</v>
      </c>
    </row>
    <row r="22" spans="1:28">
      <c r="A22">
        <f t="shared" si="11"/>
        <v>2</v>
      </c>
      <c r="B22">
        <f t="shared" si="12"/>
        <v>6</v>
      </c>
      <c r="C22">
        <f t="shared" si="5"/>
        <v>16</v>
      </c>
      <c r="D22">
        <v>12.3</v>
      </c>
      <c r="E22">
        <f t="shared" si="6"/>
        <v>150</v>
      </c>
      <c r="F22">
        <f t="shared" si="10"/>
        <v>220</v>
      </c>
      <c r="G22">
        <f t="shared" si="9"/>
        <v>15</v>
      </c>
      <c r="H22">
        <f t="shared" si="9"/>
        <v>7121</v>
      </c>
      <c r="I22">
        <f t="shared" si="9"/>
        <v>4992</v>
      </c>
      <c r="J22">
        <f t="shared" si="9"/>
        <v>356</v>
      </c>
      <c r="K22">
        <f t="shared" si="9"/>
        <v>9.4</v>
      </c>
      <c r="L22">
        <f t="shared" si="9"/>
        <v>712</v>
      </c>
      <c r="M22">
        <f t="shared" si="9"/>
        <v>4.7</v>
      </c>
      <c r="N22">
        <f t="shared" si="9"/>
        <v>1068</v>
      </c>
      <c r="O22">
        <f t="shared" si="9"/>
        <v>3.1</v>
      </c>
      <c r="Q22">
        <f>VLOOKUP(G22,Cost!$B$12:$C$36,2)</f>
        <v>4250</v>
      </c>
      <c r="R22" s="6">
        <f>-PMT(0.04,Summary!$D$46,Q22)/H22*1000</f>
        <v>53.679213112854349</v>
      </c>
      <c r="T22" s="10">
        <f t="shared" si="3"/>
        <v>474.73333333333335</v>
      </c>
      <c r="AB22">
        <v>3204</v>
      </c>
    </row>
    <row r="23" spans="1:28">
      <c r="A23">
        <f t="shared" si="11"/>
        <v>2</v>
      </c>
      <c r="B23">
        <f t="shared" si="12"/>
        <v>7</v>
      </c>
      <c r="C23">
        <f t="shared" si="5"/>
        <v>17</v>
      </c>
      <c r="D23">
        <v>691</v>
      </c>
      <c r="E23">
        <f t="shared" si="6"/>
        <v>160</v>
      </c>
      <c r="F23">
        <f t="shared" si="10"/>
        <v>221</v>
      </c>
      <c r="G23">
        <f t="shared" si="9"/>
        <v>10</v>
      </c>
      <c r="H23">
        <f t="shared" si="9"/>
        <v>6531</v>
      </c>
      <c r="I23">
        <f t="shared" si="9"/>
        <v>4992</v>
      </c>
      <c r="J23">
        <f t="shared" si="9"/>
        <v>327</v>
      </c>
      <c r="K23">
        <f t="shared" si="9"/>
        <v>10.3</v>
      </c>
      <c r="L23">
        <f t="shared" si="9"/>
        <v>653</v>
      </c>
      <c r="M23">
        <f t="shared" si="9"/>
        <v>5.0999999999999996</v>
      </c>
      <c r="N23">
        <f t="shared" si="9"/>
        <v>980</v>
      </c>
      <c r="O23">
        <f t="shared" si="9"/>
        <v>3.4</v>
      </c>
      <c r="Q23">
        <f>VLOOKUP(G23,Cost!$B$12:$C$36,2)</f>
        <v>3350</v>
      </c>
      <c r="R23" s="6">
        <f>-PMT(0.04,Summary!$D$46,Q23)/H23*1000</f>
        <v>46.13423461074261</v>
      </c>
      <c r="T23" s="10">
        <f t="shared" si="3"/>
        <v>653.1</v>
      </c>
      <c r="AB23">
        <v>8192</v>
      </c>
    </row>
    <row r="24" spans="1:28">
      <c r="A24">
        <f t="shared" si="11"/>
        <v>2</v>
      </c>
      <c r="B24">
        <f t="shared" si="12"/>
        <v>8</v>
      </c>
      <c r="C24">
        <f t="shared" si="5"/>
        <v>18</v>
      </c>
      <c r="D24">
        <v>6.1</v>
      </c>
      <c r="E24">
        <f t="shared" si="6"/>
        <v>170</v>
      </c>
      <c r="F24">
        <f t="shared" si="10"/>
        <v>222</v>
      </c>
      <c r="G24">
        <f t="shared" si="9"/>
        <v>15</v>
      </c>
      <c r="H24">
        <f t="shared" si="9"/>
        <v>6736</v>
      </c>
      <c r="I24">
        <f t="shared" si="9"/>
        <v>4992</v>
      </c>
      <c r="J24">
        <f t="shared" si="9"/>
        <v>337</v>
      </c>
      <c r="K24">
        <f t="shared" si="9"/>
        <v>9.9</v>
      </c>
      <c r="L24">
        <f t="shared" si="9"/>
        <v>674</v>
      </c>
      <c r="M24">
        <f t="shared" si="9"/>
        <v>5</v>
      </c>
      <c r="N24">
        <f t="shared" si="9"/>
        <v>1010</v>
      </c>
      <c r="O24">
        <f t="shared" si="9"/>
        <v>3.3</v>
      </c>
      <c r="Q24">
        <f>VLOOKUP(G24,Cost!$B$12:$C$36,2)</f>
        <v>4250</v>
      </c>
      <c r="R24" s="6">
        <f>-PMT(0.04,Summary!$D$46,Q24)/H24*1000</f>
        <v>56.747279776816477</v>
      </c>
      <c r="T24" s="10">
        <f t="shared" si="3"/>
        <v>449.06666666666666</v>
      </c>
      <c r="AB24">
        <v>2.56</v>
      </c>
    </row>
    <row r="25" spans="1:28">
      <c r="A25">
        <f t="shared" si="11"/>
        <v>2</v>
      </c>
      <c r="B25">
        <f t="shared" si="12"/>
        <v>9</v>
      </c>
      <c r="C25">
        <f t="shared" si="5"/>
        <v>19</v>
      </c>
      <c r="D25" s="1">
        <v>1037</v>
      </c>
      <c r="E25">
        <f t="shared" si="6"/>
        <v>180</v>
      </c>
      <c r="F25">
        <f t="shared" si="10"/>
        <v>223</v>
      </c>
      <c r="G25">
        <f t="shared" si="9"/>
        <v>15</v>
      </c>
      <c r="H25">
        <f t="shared" si="9"/>
        <v>10219</v>
      </c>
      <c r="I25">
        <f t="shared" si="9"/>
        <v>4992</v>
      </c>
      <c r="J25">
        <f t="shared" si="9"/>
        <v>511</v>
      </c>
      <c r="K25">
        <f t="shared" si="9"/>
        <v>8.3000000000000007</v>
      </c>
      <c r="L25">
        <f t="shared" si="9"/>
        <v>1022</v>
      </c>
      <c r="M25">
        <f t="shared" si="9"/>
        <v>4.2</v>
      </c>
      <c r="N25">
        <f t="shared" si="9"/>
        <v>1533</v>
      </c>
      <c r="O25">
        <f t="shared" si="9"/>
        <v>2.8</v>
      </c>
      <c r="Q25">
        <f>VLOOKUP(G25,Cost!$B$12:$C$36,2)</f>
        <v>4250</v>
      </c>
      <c r="R25" s="6">
        <f>-PMT(0.04,Summary!$D$46,Q25)/H25*1000</f>
        <v>37.405781052611395</v>
      </c>
      <c r="T25" s="10">
        <f t="shared" si="3"/>
        <v>681.26666666666665</v>
      </c>
      <c r="AB25">
        <v>693</v>
      </c>
    </row>
    <row r="26" spans="1:28">
      <c r="A26">
        <f t="shared" si="11"/>
        <v>2</v>
      </c>
      <c r="B26">
        <f t="shared" si="12"/>
        <v>10</v>
      </c>
      <c r="C26">
        <f t="shared" si="5"/>
        <v>20</v>
      </c>
      <c r="D26">
        <v>4.0999999999999996</v>
      </c>
      <c r="E26">
        <f t="shared" si="6"/>
        <v>190</v>
      </c>
      <c r="F26">
        <f t="shared" si="10"/>
        <v>224</v>
      </c>
      <c r="G26">
        <f t="shared" si="9"/>
        <v>10</v>
      </c>
      <c r="H26">
        <f t="shared" si="9"/>
        <v>8465</v>
      </c>
      <c r="I26">
        <f t="shared" si="9"/>
        <v>5200</v>
      </c>
      <c r="J26">
        <f t="shared" si="9"/>
        <v>423</v>
      </c>
      <c r="K26">
        <f t="shared" si="9"/>
        <v>7.9</v>
      </c>
      <c r="L26">
        <f t="shared" si="9"/>
        <v>847</v>
      </c>
      <c r="M26">
        <f t="shared" si="9"/>
        <v>4</v>
      </c>
      <c r="N26">
        <f t="shared" si="9"/>
        <v>1270</v>
      </c>
      <c r="O26">
        <f t="shared" si="9"/>
        <v>2.6</v>
      </c>
      <c r="Q26">
        <f>VLOOKUP(G26,Cost!$B$12:$C$36,2)</f>
        <v>3350</v>
      </c>
      <c r="R26" s="6">
        <f>-PMT(0.04,Summary!$D$46,Q26)/H26*1000</f>
        <v>35.593938126728879</v>
      </c>
      <c r="T26" s="10">
        <f t="shared" si="3"/>
        <v>846.5</v>
      </c>
      <c r="AB26">
        <v>8259</v>
      </c>
    </row>
    <row r="27" spans="1:28">
      <c r="A27">
        <f t="shared" si="11"/>
        <v>3</v>
      </c>
      <c r="B27">
        <f t="shared" si="12"/>
        <v>1</v>
      </c>
      <c r="C27">
        <f t="shared" si="5"/>
        <v>21</v>
      </c>
      <c r="D27">
        <v>204</v>
      </c>
      <c r="E27">
        <f t="shared" si="6"/>
        <v>200</v>
      </c>
      <c r="F27">
        <f t="shared" si="10"/>
        <v>225</v>
      </c>
      <c r="G27">
        <f t="shared" si="10"/>
        <v>10</v>
      </c>
      <c r="H27">
        <f t="shared" si="10"/>
        <v>7107</v>
      </c>
      <c r="I27">
        <f t="shared" si="10"/>
        <v>5200</v>
      </c>
      <c r="J27">
        <f t="shared" si="10"/>
        <v>355</v>
      </c>
      <c r="K27">
        <f t="shared" si="10"/>
        <v>9.4</v>
      </c>
      <c r="L27">
        <f t="shared" si="10"/>
        <v>711</v>
      </c>
      <c r="M27">
        <f t="shared" si="10"/>
        <v>4.7</v>
      </c>
      <c r="N27">
        <f t="shared" si="10"/>
        <v>1066</v>
      </c>
      <c r="O27">
        <f t="shared" si="10"/>
        <v>3.1</v>
      </c>
      <c r="Q27">
        <f>VLOOKUP(G27,Cost!$B$12:$C$36,2)</f>
        <v>3350</v>
      </c>
      <c r="R27" s="6">
        <f>-PMT(0.04,Summary!$D$46,Q27)/H27*1000</f>
        <v>42.395199977875329</v>
      </c>
      <c r="T27" s="10">
        <f t="shared" si="3"/>
        <v>710.7</v>
      </c>
      <c r="AB27">
        <v>2.58</v>
      </c>
    </row>
    <row r="28" spans="1:28">
      <c r="A28">
        <f t="shared" si="11"/>
        <v>3</v>
      </c>
      <c r="B28">
        <f t="shared" si="12"/>
        <v>2</v>
      </c>
      <c r="C28">
        <f t="shared" si="5"/>
        <v>22</v>
      </c>
      <c r="D28">
        <v>10</v>
      </c>
      <c r="E28">
        <f t="shared" si="6"/>
        <v>210</v>
      </c>
      <c r="F28">
        <f t="shared" si="10"/>
        <v>226</v>
      </c>
      <c r="G28">
        <f t="shared" si="10"/>
        <v>12.5</v>
      </c>
      <c r="H28">
        <f t="shared" si="10"/>
        <v>13105</v>
      </c>
      <c r="I28">
        <f t="shared" si="10"/>
        <v>4992</v>
      </c>
      <c r="J28">
        <f t="shared" si="10"/>
        <v>655</v>
      </c>
      <c r="K28">
        <f t="shared" si="10"/>
        <v>6.5</v>
      </c>
      <c r="L28">
        <f t="shared" si="10"/>
        <v>1311</v>
      </c>
      <c r="M28">
        <f t="shared" si="10"/>
        <v>3.2</v>
      </c>
      <c r="N28">
        <f t="shared" si="10"/>
        <v>1966</v>
      </c>
      <c r="O28">
        <f t="shared" si="10"/>
        <v>2.2000000000000002</v>
      </c>
      <c r="Q28">
        <f>VLOOKUP(G28,Cost!$B$12:$C$36,2)</f>
        <v>4250</v>
      </c>
      <c r="R28" s="6">
        <f>-PMT(0.04,Summary!$D$46,Q28)/H28*1000</f>
        <v>29.168231711303761</v>
      </c>
      <c r="T28" s="10">
        <f t="shared" si="3"/>
        <v>1048.4000000000001</v>
      </c>
      <c r="AB28">
        <v>699</v>
      </c>
    </row>
    <row r="29" spans="1:28">
      <c r="A29">
        <f t="shared" si="11"/>
        <v>3</v>
      </c>
      <c r="B29">
        <f t="shared" si="12"/>
        <v>3</v>
      </c>
      <c r="C29">
        <f t="shared" si="5"/>
        <v>23</v>
      </c>
      <c r="D29" s="1">
        <v>10889</v>
      </c>
      <c r="E29">
        <f t="shared" si="6"/>
        <v>220</v>
      </c>
      <c r="F29">
        <f t="shared" si="10"/>
        <v>228</v>
      </c>
      <c r="G29">
        <f t="shared" si="10"/>
        <v>10</v>
      </c>
      <c r="H29">
        <f t="shared" si="10"/>
        <v>10340</v>
      </c>
      <c r="I29">
        <f t="shared" si="10"/>
        <v>5200</v>
      </c>
      <c r="J29">
        <f t="shared" si="10"/>
        <v>517</v>
      </c>
      <c r="K29">
        <f t="shared" si="10"/>
        <v>8.1999999999999993</v>
      </c>
      <c r="L29">
        <f t="shared" si="10"/>
        <v>1034</v>
      </c>
      <c r="M29">
        <f t="shared" si="10"/>
        <v>4.0999999999999996</v>
      </c>
      <c r="N29">
        <f t="shared" si="10"/>
        <v>1551</v>
      </c>
      <c r="O29">
        <f t="shared" si="10"/>
        <v>2.7</v>
      </c>
      <c r="Q29">
        <f>VLOOKUP(G29,Cost!$B$12:$C$36,2)</f>
        <v>3350</v>
      </c>
      <c r="R29" s="6">
        <f>-PMT(0.04,Summary!$D$46,Q29)/H29*1000</f>
        <v>29.13952478169826</v>
      </c>
      <c r="T29" s="10">
        <f t="shared" si="3"/>
        <v>1034</v>
      </c>
      <c r="AB29">
        <v>258</v>
      </c>
    </row>
    <row r="30" spans="1:28">
      <c r="A30">
        <f t="shared" si="11"/>
        <v>3</v>
      </c>
      <c r="B30">
        <f t="shared" si="12"/>
        <v>4</v>
      </c>
      <c r="C30">
        <f t="shared" si="5"/>
        <v>24</v>
      </c>
      <c r="D30" s="1">
        <v>5460</v>
      </c>
      <c r="E30">
        <f t="shared" si="6"/>
        <v>230</v>
      </c>
      <c r="F30">
        <f t="shared" si="10"/>
        <v>229</v>
      </c>
      <c r="G30">
        <f t="shared" si="10"/>
        <v>10</v>
      </c>
      <c r="H30">
        <f t="shared" si="10"/>
        <v>15232</v>
      </c>
      <c r="I30">
        <f t="shared" si="10"/>
        <v>4888</v>
      </c>
      <c r="J30">
        <f t="shared" si="10"/>
        <v>762</v>
      </c>
      <c r="K30">
        <f t="shared" si="10"/>
        <v>6.2</v>
      </c>
      <c r="L30">
        <f t="shared" si="10"/>
        <v>1523</v>
      </c>
      <c r="M30">
        <f t="shared" si="10"/>
        <v>3.1</v>
      </c>
      <c r="N30">
        <f t="shared" si="10"/>
        <v>2285</v>
      </c>
      <c r="O30">
        <f t="shared" si="10"/>
        <v>2.1</v>
      </c>
      <c r="Q30">
        <f>VLOOKUP(G30,Cost!$B$12:$C$36,2)</f>
        <v>3350</v>
      </c>
      <c r="R30" s="6">
        <f>-PMT(0.04,Summary!$D$46,Q30)/H30*1000</f>
        <v>19.780901145139179</v>
      </c>
      <c r="T30" s="10">
        <f t="shared" si="3"/>
        <v>1523.2</v>
      </c>
      <c r="AB30">
        <v>203</v>
      </c>
    </row>
    <row r="31" spans="1:28">
      <c r="A31">
        <f t="shared" si="11"/>
        <v>3</v>
      </c>
      <c r="B31">
        <f t="shared" si="12"/>
        <v>5</v>
      </c>
      <c r="C31">
        <f t="shared" si="5"/>
        <v>25</v>
      </c>
      <c r="D31">
        <v>544</v>
      </c>
      <c r="E31">
        <f t="shared" si="6"/>
        <v>240</v>
      </c>
      <c r="F31">
        <f t="shared" si="10"/>
        <v>231</v>
      </c>
      <c r="G31">
        <f t="shared" si="10"/>
        <v>7.5</v>
      </c>
      <c r="H31">
        <f t="shared" si="10"/>
        <v>6082</v>
      </c>
      <c r="I31">
        <f t="shared" si="10"/>
        <v>5460</v>
      </c>
      <c r="J31">
        <f t="shared" si="10"/>
        <v>304</v>
      </c>
      <c r="K31">
        <f t="shared" si="10"/>
        <v>14</v>
      </c>
      <c r="L31">
        <f t="shared" si="10"/>
        <v>608</v>
      </c>
      <c r="M31">
        <f t="shared" si="10"/>
        <v>7</v>
      </c>
      <c r="N31">
        <f t="shared" si="10"/>
        <v>912</v>
      </c>
      <c r="O31">
        <f t="shared" si="10"/>
        <v>4.7</v>
      </c>
      <c r="Q31">
        <f>VLOOKUP(G31,Cost!$B$12:$C$36,2)</f>
        <v>3350</v>
      </c>
      <c r="R31" s="6">
        <f>-PMT(0.04,Summary!$D$46,Q31)/H31*1000</f>
        <v>49.540066794271624</v>
      </c>
      <c r="T31" s="10">
        <f t="shared" si="3"/>
        <v>810.93333333333328</v>
      </c>
      <c r="AB31" t="s">
        <v>92</v>
      </c>
    </row>
    <row r="32" spans="1:28">
      <c r="A32">
        <f t="shared" si="11"/>
        <v>3</v>
      </c>
      <c r="B32">
        <f t="shared" si="12"/>
        <v>6</v>
      </c>
      <c r="C32">
        <f t="shared" si="5"/>
        <v>26</v>
      </c>
      <c r="D32">
        <v>7.8</v>
      </c>
      <c r="E32">
        <f t="shared" si="6"/>
        <v>250</v>
      </c>
      <c r="F32">
        <f t="shared" si="10"/>
        <v>362</v>
      </c>
      <c r="G32">
        <f t="shared" si="10"/>
        <v>18</v>
      </c>
      <c r="H32">
        <f t="shared" si="10"/>
        <v>15457</v>
      </c>
      <c r="I32">
        <f t="shared" si="10"/>
        <v>7904</v>
      </c>
      <c r="J32">
        <f t="shared" si="10"/>
        <v>773</v>
      </c>
      <c r="K32">
        <f t="shared" si="10"/>
        <v>5.5</v>
      </c>
      <c r="L32">
        <f t="shared" si="10"/>
        <v>1546</v>
      </c>
      <c r="M32">
        <f t="shared" si="10"/>
        <v>2.7</v>
      </c>
      <c r="N32">
        <f t="shared" si="10"/>
        <v>2319</v>
      </c>
      <c r="O32">
        <f t="shared" si="10"/>
        <v>1.8</v>
      </c>
      <c r="Q32">
        <f>VLOOKUP(G32,Cost!$B$12:$C$36,2)</f>
        <v>4750</v>
      </c>
      <c r="R32" s="6">
        <f>-PMT(0.04,Summary!$D$46,Q32)/H32*1000</f>
        <v>27.639271964942896</v>
      </c>
      <c r="T32" s="10">
        <f t="shared" si="3"/>
        <v>858.72222222222217</v>
      </c>
      <c r="AB32">
        <v>10</v>
      </c>
    </row>
    <row r="33" spans="1:28">
      <c r="A33">
        <f t="shared" si="11"/>
        <v>3</v>
      </c>
      <c r="B33">
        <f t="shared" si="12"/>
        <v>7</v>
      </c>
      <c r="C33">
        <f t="shared" si="5"/>
        <v>27</v>
      </c>
      <c r="D33" s="1">
        <v>1089</v>
      </c>
      <c r="E33">
        <f t="shared" si="6"/>
        <v>260</v>
      </c>
      <c r="F33">
        <f t="shared" si="10"/>
        <v>363</v>
      </c>
      <c r="G33">
        <f t="shared" si="10"/>
        <v>20</v>
      </c>
      <c r="H33">
        <f t="shared" si="10"/>
        <v>41229</v>
      </c>
      <c r="I33">
        <f t="shared" si="10"/>
        <v>7904</v>
      </c>
      <c r="J33">
        <f t="shared" si="10"/>
        <v>2061</v>
      </c>
      <c r="K33">
        <f t="shared" si="10"/>
        <v>2.4</v>
      </c>
      <c r="L33">
        <f t="shared" si="10"/>
        <v>4123</v>
      </c>
      <c r="M33">
        <f t="shared" si="10"/>
        <v>1.2</v>
      </c>
      <c r="N33">
        <f t="shared" si="10"/>
        <v>6184</v>
      </c>
      <c r="O33">
        <f t="shared" si="10"/>
        <v>0.8</v>
      </c>
      <c r="Q33">
        <f>VLOOKUP(G33,Cost!$B$12:$C$36,2)</f>
        <v>4750</v>
      </c>
      <c r="R33" s="6">
        <f>-PMT(0.04,Summary!$D$46,Q33)/H33*1000</f>
        <v>10.362129247910993</v>
      </c>
      <c r="T33" s="10">
        <f t="shared" si="3"/>
        <v>2061.4499999999998</v>
      </c>
      <c r="AB33">
        <v>2.2999999999999998</v>
      </c>
    </row>
    <row r="34" spans="1:28">
      <c r="A34">
        <f t="shared" si="11"/>
        <v>3</v>
      </c>
      <c r="B34">
        <f t="shared" si="12"/>
        <v>8</v>
      </c>
      <c r="C34">
        <f t="shared" si="5"/>
        <v>28</v>
      </c>
      <c r="D34">
        <v>3.9</v>
      </c>
      <c r="E34">
        <f t="shared" si="6"/>
        <v>270</v>
      </c>
      <c r="F34">
        <f t="shared" si="10"/>
        <v>364</v>
      </c>
      <c r="G34">
        <f t="shared" si="10"/>
        <v>25</v>
      </c>
      <c r="H34">
        <f t="shared" si="10"/>
        <v>25034</v>
      </c>
      <c r="I34">
        <f t="shared" si="10"/>
        <v>5460</v>
      </c>
      <c r="J34">
        <f t="shared" si="10"/>
        <v>1252</v>
      </c>
      <c r="K34">
        <f t="shared" si="10"/>
        <v>3.9</v>
      </c>
      <c r="L34">
        <f t="shared" si="10"/>
        <v>2503</v>
      </c>
      <c r="M34">
        <f t="shared" si="10"/>
        <v>2</v>
      </c>
      <c r="N34">
        <f t="shared" si="10"/>
        <v>3755</v>
      </c>
      <c r="O34">
        <f t="shared" si="10"/>
        <v>1.3</v>
      </c>
      <c r="Q34">
        <f>VLOOKUP(G34,Cost!$B$12:$C$36,2)</f>
        <v>4892</v>
      </c>
      <c r="R34" s="6">
        <f>-PMT(0.04,Summary!$D$46,Q34)/H34*1000</f>
        <v>17.575771471390929</v>
      </c>
      <c r="T34" s="10">
        <f t="shared" si="3"/>
        <v>1001.36</v>
      </c>
      <c r="AB34">
        <v>2777</v>
      </c>
    </row>
    <row r="35" spans="1:28">
      <c r="A35">
        <f t="shared" si="11"/>
        <v>3</v>
      </c>
      <c r="B35">
        <f t="shared" si="12"/>
        <v>9</v>
      </c>
      <c r="C35">
        <f t="shared" si="5"/>
        <v>29</v>
      </c>
      <c r="D35" s="1">
        <v>1633</v>
      </c>
      <c r="E35">
        <f t="shared" si="6"/>
        <v>280</v>
      </c>
      <c r="F35">
        <f t="shared" si="10"/>
        <v>365</v>
      </c>
      <c r="G35">
        <f t="shared" si="10"/>
        <v>25</v>
      </c>
      <c r="H35">
        <f t="shared" si="10"/>
        <v>24357</v>
      </c>
      <c r="I35">
        <f t="shared" si="10"/>
        <v>5460</v>
      </c>
      <c r="J35">
        <f t="shared" si="10"/>
        <v>1218</v>
      </c>
      <c r="K35">
        <f t="shared" si="10"/>
        <v>4</v>
      </c>
      <c r="L35">
        <f t="shared" si="10"/>
        <v>2436</v>
      </c>
      <c r="M35">
        <f t="shared" si="10"/>
        <v>2</v>
      </c>
      <c r="N35">
        <f t="shared" si="10"/>
        <v>3653</v>
      </c>
      <c r="O35">
        <f t="shared" si="10"/>
        <v>1.3</v>
      </c>
      <c r="Q35">
        <f>VLOOKUP(G35,Cost!$B$12:$C$36,2)</f>
        <v>4892</v>
      </c>
      <c r="R35" s="6">
        <f>-PMT(0.04,Summary!$D$46,Q35)/H35*1000</f>
        <v>18.064288008161949</v>
      </c>
      <c r="T35" s="10">
        <f t="shared" si="3"/>
        <v>974.28</v>
      </c>
      <c r="AB35">
        <v>4214</v>
      </c>
    </row>
    <row r="36" spans="1:28">
      <c r="A36">
        <f t="shared" si="11"/>
        <v>3</v>
      </c>
      <c r="B36">
        <f t="shared" si="12"/>
        <v>10</v>
      </c>
      <c r="C36">
        <f t="shared" si="5"/>
        <v>30</v>
      </c>
      <c r="D36">
        <v>2.6</v>
      </c>
      <c r="E36">
        <f t="shared" si="6"/>
        <v>290</v>
      </c>
      <c r="F36">
        <f t="shared" si="10"/>
        <v>366</v>
      </c>
      <c r="G36">
        <f t="shared" si="10"/>
        <v>25</v>
      </c>
      <c r="H36">
        <f t="shared" si="10"/>
        <v>29320</v>
      </c>
      <c r="I36">
        <f t="shared" si="10"/>
        <v>8736</v>
      </c>
      <c r="J36">
        <f t="shared" si="10"/>
        <v>1466</v>
      </c>
      <c r="K36">
        <f t="shared" si="10"/>
        <v>3.3</v>
      </c>
      <c r="L36">
        <f t="shared" si="10"/>
        <v>2932</v>
      </c>
      <c r="M36">
        <f t="shared" si="10"/>
        <v>1.7</v>
      </c>
      <c r="N36">
        <f t="shared" si="10"/>
        <v>4398</v>
      </c>
      <c r="O36">
        <f t="shared" si="10"/>
        <v>1.1000000000000001</v>
      </c>
      <c r="Q36">
        <f>VLOOKUP(G36,Cost!$B$12:$C$36,2)</f>
        <v>4892</v>
      </c>
      <c r="R36" s="6">
        <f>-PMT(0.04,Summary!$D$46,Q36)/H36*1000</f>
        <v>15.006543759031397</v>
      </c>
      <c r="T36" s="10">
        <f t="shared" si="3"/>
        <v>1172.8</v>
      </c>
      <c r="AB36">
        <v>1.52</v>
      </c>
    </row>
    <row r="37" spans="1:28">
      <c r="A37">
        <f t="shared" si="11"/>
        <v>4</v>
      </c>
      <c r="B37">
        <f t="shared" si="12"/>
        <v>1</v>
      </c>
      <c r="C37">
        <f t="shared" si="5"/>
        <v>31</v>
      </c>
      <c r="D37">
        <v>205</v>
      </c>
      <c r="E37">
        <f t="shared" si="6"/>
        <v>300</v>
      </c>
      <c r="F37">
        <f t="shared" si="10"/>
        <v>367</v>
      </c>
      <c r="G37">
        <f t="shared" si="10"/>
        <v>25</v>
      </c>
      <c r="H37">
        <f t="shared" si="10"/>
        <v>27892</v>
      </c>
      <c r="I37">
        <f t="shared" si="10"/>
        <v>8736</v>
      </c>
      <c r="J37">
        <f t="shared" si="10"/>
        <v>1395</v>
      </c>
      <c r="K37">
        <f t="shared" si="10"/>
        <v>3.5</v>
      </c>
      <c r="L37">
        <f t="shared" si="10"/>
        <v>2789</v>
      </c>
      <c r="M37">
        <f t="shared" si="10"/>
        <v>1.8</v>
      </c>
      <c r="N37">
        <f t="shared" si="10"/>
        <v>4184</v>
      </c>
      <c r="O37">
        <f t="shared" si="10"/>
        <v>1.2</v>
      </c>
      <c r="Q37">
        <f>VLOOKUP(G37,Cost!$B$12:$C$36,2)</f>
        <v>4892</v>
      </c>
      <c r="R37" s="6">
        <f>-PMT(0.04,Summary!$D$46,Q37)/H37*1000</f>
        <v>15.774840922658846</v>
      </c>
      <c r="T37" s="10">
        <f t="shared" si="3"/>
        <v>1115.68</v>
      </c>
      <c r="AB37">
        <v>665</v>
      </c>
    </row>
    <row r="38" spans="1:28">
      <c r="A38">
        <f t="shared" si="11"/>
        <v>4</v>
      </c>
      <c r="B38">
        <f t="shared" si="12"/>
        <v>2</v>
      </c>
      <c r="C38">
        <f t="shared" si="5"/>
        <v>32</v>
      </c>
      <c r="D38">
        <v>15</v>
      </c>
      <c r="E38">
        <f t="shared" si="6"/>
        <v>310</v>
      </c>
      <c r="F38">
        <f t="shared" si="10"/>
        <v>368</v>
      </c>
      <c r="G38">
        <f t="shared" si="10"/>
        <v>25</v>
      </c>
      <c r="H38">
        <f t="shared" si="10"/>
        <v>29069</v>
      </c>
      <c r="I38">
        <f t="shared" si="10"/>
        <v>8736</v>
      </c>
      <c r="J38">
        <f t="shared" si="10"/>
        <v>1453</v>
      </c>
      <c r="K38">
        <f t="shared" si="10"/>
        <v>3.4</v>
      </c>
      <c r="L38">
        <f t="shared" si="10"/>
        <v>2907</v>
      </c>
      <c r="M38">
        <f t="shared" si="10"/>
        <v>1.7</v>
      </c>
      <c r="N38">
        <f t="shared" si="10"/>
        <v>4360</v>
      </c>
      <c r="O38">
        <f t="shared" si="10"/>
        <v>1.1000000000000001</v>
      </c>
      <c r="Q38">
        <f>VLOOKUP(G38,Cost!$B$12:$C$36,2)</f>
        <v>4892</v>
      </c>
      <c r="R38" s="6">
        <f>-PMT(0.04,Summary!$D$46,Q38)/H38*1000</f>
        <v>15.136119681268726</v>
      </c>
      <c r="T38" s="10">
        <f t="shared" si="3"/>
        <v>1162.76</v>
      </c>
      <c r="AB38">
        <v>3562</v>
      </c>
    </row>
    <row r="39" spans="1:28">
      <c r="A39">
        <f t="shared" si="11"/>
        <v>4</v>
      </c>
      <c r="B39">
        <f t="shared" si="12"/>
        <v>3</v>
      </c>
      <c r="C39">
        <f t="shared" si="5"/>
        <v>33</v>
      </c>
      <c r="D39" s="1">
        <v>8611</v>
      </c>
      <c r="E39">
        <f t="shared" si="6"/>
        <v>320</v>
      </c>
      <c r="F39">
        <f t="shared" si="10"/>
        <v>369</v>
      </c>
      <c r="G39">
        <f t="shared" si="10"/>
        <v>25</v>
      </c>
      <c r="H39">
        <f t="shared" si="10"/>
        <v>38168</v>
      </c>
      <c r="I39">
        <f t="shared" si="10"/>
        <v>8736</v>
      </c>
      <c r="J39">
        <f t="shared" si="10"/>
        <v>1908</v>
      </c>
      <c r="K39">
        <f t="shared" si="10"/>
        <v>2.6</v>
      </c>
      <c r="L39">
        <f t="shared" si="10"/>
        <v>3817</v>
      </c>
      <c r="M39">
        <f t="shared" si="10"/>
        <v>1.3</v>
      </c>
      <c r="N39">
        <f t="shared" si="10"/>
        <v>5725</v>
      </c>
      <c r="O39">
        <f t="shared" si="10"/>
        <v>0.9</v>
      </c>
      <c r="Q39">
        <f>VLOOKUP(G39,Cost!$B$12:$C$36,2)</f>
        <v>4892</v>
      </c>
      <c r="R39" s="6">
        <f>-PMT(0.04,Summary!$D$46,Q39)/H39*1000</f>
        <v>11.527768366558389</v>
      </c>
      <c r="T39" s="10">
        <f t="shared" si="3"/>
        <v>1526.72</v>
      </c>
      <c r="AB39">
        <v>1.28</v>
      </c>
    </row>
    <row r="40" spans="1:28">
      <c r="A40">
        <f t="shared" si="11"/>
        <v>4</v>
      </c>
      <c r="B40">
        <f t="shared" si="12"/>
        <v>4</v>
      </c>
      <c r="C40">
        <f t="shared" si="5"/>
        <v>34</v>
      </c>
      <c r="D40" s="1">
        <v>5460</v>
      </c>
      <c r="E40">
        <f t="shared" si="6"/>
        <v>330</v>
      </c>
      <c r="F40">
        <f t="shared" si="10"/>
        <v>370</v>
      </c>
      <c r="G40">
        <f t="shared" si="10"/>
        <v>25</v>
      </c>
      <c r="H40">
        <f t="shared" si="10"/>
        <v>38689</v>
      </c>
      <c r="I40">
        <f t="shared" si="10"/>
        <v>8736</v>
      </c>
      <c r="J40">
        <f t="shared" si="10"/>
        <v>1934</v>
      </c>
      <c r="K40">
        <f t="shared" si="10"/>
        <v>2.5</v>
      </c>
      <c r="L40">
        <f t="shared" si="10"/>
        <v>3869</v>
      </c>
      <c r="M40">
        <f t="shared" si="10"/>
        <v>1.3</v>
      </c>
      <c r="N40">
        <f t="shared" si="10"/>
        <v>5803</v>
      </c>
      <c r="O40">
        <f t="shared" si="10"/>
        <v>0.8</v>
      </c>
      <c r="Q40">
        <f>VLOOKUP(G40,Cost!$B$12:$C$36,2)</f>
        <v>4892</v>
      </c>
      <c r="R40" s="6">
        <f>-PMT(0.04,Summary!$D$46,Q40)/H40*1000</f>
        <v>11.37253128834554</v>
      </c>
      <c r="T40" s="10">
        <f t="shared" si="3"/>
        <v>1547.56</v>
      </c>
      <c r="AB40">
        <v>562</v>
      </c>
    </row>
    <row r="41" spans="1:28">
      <c r="A41">
        <f t="shared" si="11"/>
        <v>4</v>
      </c>
      <c r="B41">
        <f t="shared" si="12"/>
        <v>5</v>
      </c>
      <c r="C41">
        <f t="shared" si="5"/>
        <v>35</v>
      </c>
      <c r="D41">
        <v>431</v>
      </c>
      <c r="E41">
        <f t="shared" si="6"/>
        <v>340</v>
      </c>
      <c r="F41">
        <f t="shared" si="10"/>
        <v>371</v>
      </c>
      <c r="G41">
        <f t="shared" si="10"/>
        <v>25</v>
      </c>
      <c r="H41">
        <f t="shared" si="10"/>
        <v>39081</v>
      </c>
      <c r="I41">
        <f t="shared" si="10"/>
        <v>8736</v>
      </c>
      <c r="J41">
        <f t="shared" si="10"/>
        <v>1954</v>
      </c>
      <c r="K41">
        <f t="shared" si="10"/>
        <v>2.5</v>
      </c>
      <c r="L41">
        <f t="shared" si="10"/>
        <v>3908</v>
      </c>
      <c r="M41">
        <f t="shared" si="10"/>
        <v>1.3</v>
      </c>
      <c r="N41">
        <f t="shared" si="10"/>
        <v>5862</v>
      </c>
      <c r="O41">
        <f t="shared" si="10"/>
        <v>0.8</v>
      </c>
      <c r="Q41">
        <f>VLOOKUP(G41,Cost!$B$12:$C$36,2)</f>
        <v>4892</v>
      </c>
      <c r="R41" s="6">
        <f>-PMT(0.04,Summary!$D$46,Q41)/H41*1000</f>
        <v>11.258459686671287</v>
      </c>
      <c r="T41" s="10">
        <f t="shared" si="3"/>
        <v>1563.24</v>
      </c>
      <c r="AB41">
        <v>128</v>
      </c>
    </row>
    <row r="42" spans="1:28">
      <c r="A42">
        <f t="shared" si="11"/>
        <v>4</v>
      </c>
      <c r="B42">
        <f t="shared" si="12"/>
        <v>6</v>
      </c>
      <c r="C42">
        <f t="shared" si="5"/>
        <v>36</v>
      </c>
      <c r="D42">
        <v>9.9</v>
      </c>
      <c r="E42">
        <f t="shared" si="6"/>
        <v>350</v>
      </c>
      <c r="F42">
        <f t="shared" si="10"/>
        <v>372</v>
      </c>
      <c r="G42">
        <f t="shared" si="10"/>
        <v>12.5</v>
      </c>
      <c r="H42">
        <f t="shared" si="10"/>
        <v>9305</v>
      </c>
      <c r="I42">
        <f t="shared" si="10"/>
        <v>4368</v>
      </c>
      <c r="J42">
        <f t="shared" si="10"/>
        <v>465</v>
      </c>
      <c r="K42">
        <f t="shared" si="10"/>
        <v>9.1</v>
      </c>
      <c r="L42">
        <f t="shared" si="10"/>
        <v>930</v>
      </c>
      <c r="M42">
        <f t="shared" si="10"/>
        <v>4.5999999999999996</v>
      </c>
      <c r="N42">
        <f t="shared" si="10"/>
        <v>1396</v>
      </c>
      <c r="O42">
        <f t="shared" si="10"/>
        <v>3</v>
      </c>
      <c r="Q42">
        <f>VLOOKUP(G42,Cost!$B$12:$C$36,2)</f>
        <v>4250</v>
      </c>
      <c r="R42" s="6">
        <f>-PMT(0.04,Summary!$D$46,Q42)/H42*1000</f>
        <v>41.080029723442856</v>
      </c>
      <c r="T42" s="10">
        <f t="shared" si="3"/>
        <v>744.4</v>
      </c>
      <c r="AB42">
        <v>204</v>
      </c>
    </row>
    <row r="43" spans="1:28">
      <c r="A43">
        <f t="shared" si="11"/>
        <v>4</v>
      </c>
      <c r="B43">
        <f t="shared" si="12"/>
        <v>7</v>
      </c>
      <c r="C43">
        <f t="shared" si="5"/>
        <v>37</v>
      </c>
      <c r="D43">
        <v>861</v>
      </c>
      <c r="E43">
        <f t="shared" si="6"/>
        <v>360</v>
      </c>
      <c r="F43">
        <f t="shared" si="10"/>
        <v>375</v>
      </c>
      <c r="G43">
        <f t="shared" si="10"/>
        <v>15</v>
      </c>
      <c r="H43">
        <f t="shared" si="10"/>
        <v>12198</v>
      </c>
      <c r="I43">
        <f t="shared" si="10"/>
        <v>4004</v>
      </c>
      <c r="J43">
        <f t="shared" si="10"/>
        <v>610</v>
      </c>
      <c r="K43">
        <f t="shared" si="10"/>
        <v>7</v>
      </c>
      <c r="L43">
        <f t="shared" si="10"/>
        <v>1220</v>
      </c>
      <c r="M43">
        <f t="shared" si="10"/>
        <v>3.5</v>
      </c>
      <c r="N43">
        <f t="shared" si="10"/>
        <v>1830</v>
      </c>
      <c r="O43">
        <f t="shared" si="10"/>
        <v>2.2999999999999998</v>
      </c>
      <c r="Q43">
        <f>VLOOKUP(G43,Cost!$B$12:$C$36,2)</f>
        <v>4250</v>
      </c>
      <c r="R43" s="6">
        <f>-PMT(0.04,Summary!$D$46,Q43)/H43*1000</f>
        <v>31.337077928892917</v>
      </c>
      <c r="T43" s="10">
        <f t="shared" si="3"/>
        <v>813.2</v>
      </c>
      <c r="AB43" t="s">
        <v>92</v>
      </c>
    </row>
    <row r="44" spans="1:28">
      <c r="A44">
        <f t="shared" si="11"/>
        <v>4</v>
      </c>
      <c r="B44">
        <f t="shared" si="12"/>
        <v>8</v>
      </c>
      <c r="C44">
        <f t="shared" si="5"/>
        <v>38</v>
      </c>
      <c r="D44">
        <v>4.9000000000000004</v>
      </c>
      <c r="E44">
        <f t="shared" si="6"/>
        <v>370</v>
      </c>
      <c r="F44">
        <f t="shared" ref="F44:O67" si="13">VLOOKUP(($E44+F$6),$C$7:$D$1000,2,FALSE)</f>
        <v>376</v>
      </c>
      <c r="G44">
        <f t="shared" si="13"/>
        <v>15</v>
      </c>
      <c r="H44">
        <f t="shared" si="13"/>
        <v>2905</v>
      </c>
      <c r="I44">
        <f t="shared" si="13"/>
        <v>4004</v>
      </c>
      <c r="J44">
        <f t="shared" si="13"/>
        <v>145</v>
      </c>
      <c r="K44">
        <f t="shared" si="13"/>
        <v>23.1</v>
      </c>
      <c r="L44">
        <f t="shared" si="13"/>
        <v>290</v>
      </c>
      <c r="M44">
        <f t="shared" si="13"/>
        <v>11.5</v>
      </c>
      <c r="N44">
        <f t="shared" si="13"/>
        <v>436</v>
      </c>
      <c r="O44">
        <f t="shared" si="13"/>
        <v>7.7</v>
      </c>
      <c r="Q44">
        <f>VLOOKUP(G44,Cost!$B$12:$C$36,2)</f>
        <v>4250</v>
      </c>
      <c r="R44" s="6">
        <f>-PMT(0.04,Summary!$D$46,Q44)/H44*1000</f>
        <v>131.58336543085568</v>
      </c>
      <c r="T44" s="10">
        <f t="shared" si="3"/>
        <v>193.66666666666666</v>
      </c>
      <c r="AB44">
        <v>10</v>
      </c>
    </row>
    <row r="45" spans="1:28">
      <c r="A45">
        <f t="shared" si="11"/>
        <v>4</v>
      </c>
      <c r="B45">
        <f t="shared" si="12"/>
        <v>9</v>
      </c>
      <c r="C45">
        <f t="shared" si="5"/>
        <v>39</v>
      </c>
      <c r="D45" s="1">
        <v>1292</v>
      </c>
      <c r="E45">
        <f t="shared" si="6"/>
        <v>380</v>
      </c>
      <c r="F45">
        <f t="shared" si="13"/>
        <v>377</v>
      </c>
      <c r="G45">
        <f t="shared" si="13"/>
        <v>7.5</v>
      </c>
      <c r="H45">
        <f t="shared" si="13"/>
        <v>4677</v>
      </c>
      <c r="I45">
        <f t="shared" si="13"/>
        <v>4004</v>
      </c>
      <c r="J45">
        <f t="shared" si="13"/>
        <v>234</v>
      </c>
      <c r="K45">
        <f t="shared" si="13"/>
        <v>14.3</v>
      </c>
      <c r="L45">
        <f t="shared" si="13"/>
        <v>468</v>
      </c>
      <c r="M45">
        <f t="shared" si="13"/>
        <v>7.2</v>
      </c>
      <c r="N45">
        <f t="shared" si="13"/>
        <v>702</v>
      </c>
      <c r="O45">
        <f t="shared" si="13"/>
        <v>4.8</v>
      </c>
      <c r="Q45">
        <f>VLOOKUP(G45,Cost!$B$12:$C$36,2)</f>
        <v>3350</v>
      </c>
      <c r="R45" s="6">
        <f>-PMT(0.04,Summary!$D$46,Q45)/H45*1000</f>
        <v>64.422212153679695</v>
      </c>
      <c r="T45" s="10">
        <f t="shared" si="3"/>
        <v>623.6</v>
      </c>
      <c r="AB45">
        <v>3.1</v>
      </c>
    </row>
    <row r="46" spans="1:28">
      <c r="A46">
        <f t="shared" si="11"/>
        <v>4</v>
      </c>
      <c r="B46">
        <f t="shared" si="12"/>
        <v>10</v>
      </c>
      <c r="C46">
        <f t="shared" si="5"/>
        <v>40</v>
      </c>
      <c r="D46">
        <v>3.3</v>
      </c>
      <c r="E46">
        <f t="shared" si="6"/>
        <v>390</v>
      </c>
      <c r="F46">
        <f t="shared" si="13"/>
        <v>378</v>
      </c>
      <c r="G46">
        <f t="shared" si="13"/>
        <v>10</v>
      </c>
      <c r="H46">
        <f t="shared" si="13"/>
        <v>7649</v>
      </c>
      <c r="I46">
        <f t="shared" si="13"/>
        <v>4004</v>
      </c>
      <c r="J46">
        <f t="shared" si="13"/>
        <v>382</v>
      </c>
      <c r="K46">
        <f t="shared" si="13"/>
        <v>11.1</v>
      </c>
      <c r="L46">
        <f t="shared" si="13"/>
        <v>765</v>
      </c>
      <c r="M46">
        <f t="shared" si="13"/>
        <v>5.6</v>
      </c>
      <c r="N46">
        <f t="shared" si="13"/>
        <v>1147</v>
      </c>
      <c r="O46">
        <f t="shared" si="13"/>
        <v>3.7</v>
      </c>
      <c r="Q46">
        <f>VLOOKUP(G46,Cost!$B$12:$C$36,2)</f>
        <v>3350</v>
      </c>
      <c r="R46" s="6">
        <f>-PMT(0.04,Summary!$D$46,Q46)/H46*1000</f>
        <v>39.391121224050202</v>
      </c>
      <c r="T46" s="10">
        <f t="shared" si="3"/>
        <v>764.9</v>
      </c>
      <c r="AB46">
        <v>4075</v>
      </c>
    </row>
    <row r="47" spans="1:28">
      <c r="A47">
        <f t="shared" si="11"/>
        <v>5</v>
      </c>
      <c r="B47">
        <f t="shared" si="12"/>
        <v>1</v>
      </c>
      <c r="C47">
        <f t="shared" si="5"/>
        <v>41</v>
      </c>
      <c r="D47">
        <v>206</v>
      </c>
      <c r="E47">
        <f t="shared" si="6"/>
        <v>400</v>
      </c>
      <c r="F47">
        <f t="shared" si="13"/>
        <v>379</v>
      </c>
      <c r="G47">
        <f t="shared" si="13"/>
        <v>5</v>
      </c>
      <c r="H47">
        <f t="shared" si="13"/>
        <v>2038</v>
      </c>
      <c r="I47">
        <f t="shared" si="13"/>
        <v>4004</v>
      </c>
      <c r="J47">
        <f t="shared" si="13"/>
        <v>102</v>
      </c>
      <c r="K47">
        <f t="shared" si="13"/>
        <v>29</v>
      </c>
      <c r="L47">
        <f t="shared" si="13"/>
        <v>204</v>
      </c>
      <c r="M47">
        <f t="shared" si="13"/>
        <v>14.5</v>
      </c>
      <c r="N47">
        <f t="shared" si="13"/>
        <v>306</v>
      </c>
      <c r="O47">
        <f t="shared" si="13"/>
        <v>9.6999999999999993</v>
      </c>
      <c r="Q47">
        <f>VLOOKUP(G47,Cost!$B$12:$C$36,2)</f>
        <v>2950</v>
      </c>
      <c r="R47" s="6">
        <f>-PMT(0.04,Summary!$D$46,Q47)/H47*1000</f>
        <v>130.18952212677664</v>
      </c>
      <c r="T47" s="10">
        <f t="shared" si="3"/>
        <v>407.6</v>
      </c>
      <c r="AB47">
        <v>8573</v>
      </c>
    </row>
    <row r="48" spans="1:28">
      <c r="A48">
        <f t="shared" si="11"/>
        <v>5</v>
      </c>
      <c r="B48">
        <f t="shared" si="12"/>
        <v>2</v>
      </c>
      <c r="C48">
        <f t="shared" si="5"/>
        <v>42</v>
      </c>
      <c r="D48">
        <v>10</v>
      </c>
      <c r="E48">
        <f t="shared" si="6"/>
        <v>410</v>
      </c>
      <c r="F48">
        <f t="shared" si="13"/>
        <v>380</v>
      </c>
      <c r="G48">
        <f t="shared" si="13"/>
        <v>7.5</v>
      </c>
      <c r="H48">
        <f t="shared" si="13"/>
        <v>4430</v>
      </c>
      <c r="I48">
        <f t="shared" si="13"/>
        <v>4004</v>
      </c>
      <c r="J48">
        <f t="shared" si="13"/>
        <v>221</v>
      </c>
      <c r="K48">
        <f t="shared" si="13"/>
        <v>15.1</v>
      </c>
      <c r="L48">
        <f t="shared" si="13"/>
        <v>443</v>
      </c>
      <c r="M48">
        <f t="shared" si="13"/>
        <v>7.6</v>
      </c>
      <c r="N48">
        <f t="shared" si="13"/>
        <v>664</v>
      </c>
      <c r="O48">
        <f t="shared" si="13"/>
        <v>5</v>
      </c>
      <c r="Q48">
        <f>VLOOKUP(G48,Cost!$B$12:$C$36,2)</f>
        <v>3350</v>
      </c>
      <c r="R48" s="6">
        <f>-PMT(0.04,Summary!$D$46,Q48)/H48*1000</f>
        <v>68.014150393399547</v>
      </c>
      <c r="T48" s="10">
        <f t="shared" si="3"/>
        <v>590.66666666666663</v>
      </c>
      <c r="AB48">
        <v>2.1</v>
      </c>
    </row>
    <row r="49" spans="1:28">
      <c r="A49">
        <f t="shared" si="11"/>
        <v>5</v>
      </c>
      <c r="B49">
        <f t="shared" si="12"/>
        <v>3</v>
      </c>
      <c r="C49">
        <f t="shared" si="5"/>
        <v>43</v>
      </c>
      <c r="D49" s="1">
        <v>10014</v>
      </c>
      <c r="E49">
        <f t="shared" si="6"/>
        <v>420</v>
      </c>
      <c r="F49">
        <f t="shared" si="13"/>
        <v>381</v>
      </c>
      <c r="G49">
        <f t="shared" si="13"/>
        <v>15</v>
      </c>
      <c r="H49">
        <f t="shared" si="13"/>
        <v>13940</v>
      </c>
      <c r="I49">
        <f t="shared" si="13"/>
        <v>6916</v>
      </c>
      <c r="J49">
        <f t="shared" si="13"/>
        <v>697</v>
      </c>
      <c r="K49">
        <f t="shared" si="13"/>
        <v>6.1</v>
      </c>
      <c r="L49">
        <f t="shared" si="13"/>
        <v>1394</v>
      </c>
      <c r="M49">
        <f t="shared" si="13"/>
        <v>3</v>
      </c>
      <c r="N49">
        <f t="shared" si="13"/>
        <v>2091</v>
      </c>
      <c r="O49">
        <f t="shared" si="13"/>
        <v>2</v>
      </c>
      <c r="Q49">
        <f>VLOOKUP(G49,Cost!$B$12:$C$36,2)</f>
        <v>4250</v>
      </c>
      <c r="R49" s="6">
        <f>-PMT(0.04,Summary!$D$46,Q49)/H49*1000</f>
        <v>27.421067186272296</v>
      </c>
      <c r="T49" s="10">
        <f t="shared" si="3"/>
        <v>929.33333333333337</v>
      </c>
      <c r="AB49">
        <v>689</v>
      </c>
    </row>
    <row r="50" spans="1:28">
      <c r="A50">
        <f t="shared" si="11"/>
        <v>5</v>
      </c>
      <c r="B50">
        <f t="shared" si="12"/>
        <v>4</v>
      </c>
      <c r="C50">
        <f t="shared" si="5"/>
        <v>44</v>
      </c>
      <c r="D50" s="1">
        <v>5460</v>
      </c>
      <c r="E50">
        <f t="shared" si="6"/>
        <v>430</v>
      </c>
      <c r="F50">
        <f t="shared" si="13"/>
        <v>382</v>
      </c>
      <c r="G50">
        <f t="shared" si="13"/>
        <v>15</v>
      </c>
      <c r="H50">
        <f t="shared" si="13"/>
        <v>19616</v>
      </c>
      <c r="I50">
        <f t="shared" si="13"/>
        <v>6916</v>
      </c>
      <c r="J50">
        <f t="shared" si="13"/>
        <v>981</v>
      </c>
      <c r="K50">
        <f t="shared" si="13"/>
        <v>4.3</v>
      </c>
      <c r="L50">
        <f t="shared" si="13"/>
        <v>1962</v>
      </c>
      <c r="M50">
        <f t="shared" si="13"/>
        <v>2.2000000000000002</v>
      </c>
      <c r="N50">
        <f t="shared" si="13"/>
        <v>2942</v>
      </c>
      <c r="O50">
        <f t="shared" si="13"/>
        <v>1.4</v>
      </c>
      <c r="Q50">
        <f>VLOOKUP(G50,Cost!$B$12:$C$36,2)</f>
        <v>4250</v>
      </c>
      <c r="R50" s="6">
        <f>-PMT(0.04,Summary!$D$46,Q50)/H50*1000</f>
        <v>19.486627068547911</v>
      </c>
      <c r="T50" s="10">
        <f t="shared" si="3"/>
        <v>1307.7333333333333</v>
      </c>
      <c r="AB50">
        <v>7782</v>
      </c>
    </row>
    <row r="51" spans="1:28">
      <c r="A51">
        <f t="shared" si="11"/>
        <v>5</v>
      </c>
      <c r="B51">
        <f t="shared" si="12"/>
        <v>5</v>
      </c>
      <c r="C51">
        <f t="shared" si="5"/>
        <v>45</v>
      </c>
      <c r="D51">
        <v>501</v>
      </c>
      <c r="E51">
        <f t="shared" si="6"/>
        <v>440</v>
      </c>
      <c r="F51">
        <f t="shared" si="13"/>
        <v>383</v>
      </c>
      <c r="G51">
        <f t="shared" si="13"/>
        <v>15</v>
      </c>
      <c r="H51">
        <f t="shared" si="13"/>
        <v>12181</v>
      </c>
      <c r="I51">
        <f t="shared" si="13"/>
        <v>6916</v>
      </c>
      <c r="J51">
        <f t="shared" si="13"/>
        <v>609</v>
      </c>
      <c r="K51">
        <f t="shared" si="13"/>
        <v>7</v>
      </c>
      <c r="L51">
        <f t="shared" si="13"/>
        <v>1218</v>
      </c>
      <c r="M51">
        <f t="shared" si="13"/>
        <v>3.5</v>
      </c>
      <c r="N51">
        <f t="shared" si="13"/>
        <v>1827</v>
      </c>
      <c r="O51">
        <f t="shared" si="13"/>
        <v>2.2999999999999998</v>
      </c>
      <c r="Q51">
        <f>VLOOKUP(G51,Cost!$B$12:$C$36,2)</f>
        <v>4250</v>
      </c>
      <c r="R51" s="6">
        <f>-PMT(0.04,Summary!$D$46,Q51)/H51*1000</f>
        <v>31.380812460112949</v>
      </c>
      <c r="T51" s="10">
        <f t="shared" si="3"/>
        <v>812.06666666666672</v>
      </c>
      <c r="AB51">
        <v>1.91</v>
      </c>
    </row>
    <row r="52" spans="1:28">
      <c r="A52">
        <f t="shared" si="11"/>
        <v>5</v>
      </c>
      <c r="B52">
        <f t="shared" si="12"/>
        <v>6</v>
      </c>
      <c r="C52">
        <f t="shared" si="5"/>
        <v>46</v>
      </c>
      <c r="D52">
        <v>8.5</v>
      </c>
      <c r="E52">
        <f t="shared" si="6"/>
        <v>450</v>
      </c>
      <c r="F52">
        <f t="shared" si="13"/>
        <v>384</v>
      </c>
      <c r="G52">
        <f t="shared" si="13"/>
        <v>20</v>
      </c>
      <c r="H52">
        <f t="shared" si="13"/>
        <v>14705</v>
      </c>
      <c r="I52">
        <f t="shared" si="13"/>
        <v>6916</v>
      </c>
      <c r="J52">
        <f t="shared" si="13"/>
        <v>735</v>
      </c>
      <c r="K52">
        <f t="shared" si="13"/>
        <v>5.8</v>
      </c>
      <c r="L52">
        <f t="shared" si="13"/>
        <v>1471</v>
      </c>
      <c r="M52">
        <f t="shared" si="13"/>
        <v>2.9</v>
      </c>
      <c r="N52">
        <f t="shared" si="13"/>
        <v>2206</v>
      </c>
      <c r="O52">
        <f t="shared" si="13"/>
        <v>1.9</v>
      </c>
      <c r="Q52">
        <f>VLOOKUP(G52,Cost!$B$12:$C$36,2)</f>
        <v>4750</v>
      </c>
      <c r="R52" s="6">
        <f>-PMT(0.04,Summary!$D$46,Q52)/H52*1000</f>
        <v>29.052718582939296</v>
      </c>
      <c r="T52" s="10">
        <f t="shared" si="3"/>
        <v>735.25</v>
      </c>
      <c r="AB52">
        <v>625</v>
      </c>
    </row>
    <row r="53" spans="1:28">
      <c r="A53">
        <f t="shared" si="11"/>
        <v>5</v>
      </c>
      <c r="B53">
        <f t="shared" si="12"/>
        <v>7</v>
      </c>
      <c r="C53">
        <f t="shared" si="5"/>
        <v>47</v>
      </c>
      <c r="D53" s="1">
        <v>1001</v>
      </c>
      <c r="E53">
        <f t="shared" si="6"/>
        <v>460</v>
      </c>
      <c r="F53">
        <f t="shared" si="13"/>
        <v>385</v>
      </c>
      <c r="G53">
        <f t="shared" si="13"/>
        <v>15</v>
      </c>
      <c r="H53">
        <f t="shared" si="13"/>
        <v>16511</v>
      </c>
      <c r="I53">
        <f t="shared" si="13"/>
        <v>6916</v>
      </c>
      <c r="J53">
        <f t="shared" si="13"/>
        <v>826</v>
      </c>
      <c r="K53">
        <f t="shared" si="13"/>
        <v>5.0999999999999996</v>
      </c>
      <c r="L53">
        <f t="shared" si="13"/>
        <v>1651</v>
      </c>
      <c r="M53">
        <f t="shared" si="13"/>
        <v>2.6</v>
      </c>
      <c r="N53">
        <f t="shared" si="13"/>
        <v>2477</v>
      </c>
      <c r="O53">
        <f t="shared" si="13"/>
        <v>1.7</v>
      </c>
      <c r="Q53">
        <f>VLOOKUP(G53,Cost!$B$12:$C$36,2)</f>
        <v>4250</v>
      </c>
      <c r="R53" s="6">
        <f>-PMT(0.04,Summary!$D$46,Q53)/H53*1000</f>
        <v>23.151212923301788</v>
      </c>
      <c r="T53" s="10">
        <f t="shared" si="3"/>
        <v>1100.7333333333333</v>
      </c>
      <c r="AB53">
        <v>191</v>
      </c>
    </row>
    <row r="54" spans="1:28">
      <c r="A54">
        <f t="shared" si="11"/>
        <v>5</v>
      </c>
      <c r="B54">
        <f t="shared" si="12"/>
        <v>8</v>
      </c>
      <c r="C54">
        <f t="shared" si="5"/>
        <v>48</v>
      </c>
      <c r="D54">
        <v>4.2</v>
      </c>
      <c r="E54">
        <f t="shared" si="6"/>
        <v>470</v>
      </c>
      <c r="F54">
        <f t="shared" si="13"/>
        <v>386</v>
      </c>
      <c r="G54">
        <f t="shared" si="13"/>
        <v>15</v>
      </c>
      <c r="H54">
        <f t="shared" si="13"/>
        <v>10910</v>
      </c>
      <c r="I54">
        <f t="shared" si="13"/>
        <v>6916</v>
      </c>
      <c r="J54">
        <f t="shared" si="13"/>
        <v>546</v>
      </c>
      <c r="K54">
        <f t="shared" si="13"/>
        <v>7.8</v>
      </c>
      <c r="L54">
        <f t="shared" si="13"/>
        <v>1091</v>
      </c>
      <c r="M54">
        <f t="shared" si="13"/>
        <v>3.9</v>
      </c>
      <c r="N54">
        <f t="shared" si="13"/>
        <v>1637</v>
      </c>
      <c r="O54">
        <f t="shared" si="13"/>
        <v>2.6</v>
      </c>
      <c r="Q54">
        <f>VLOOKUP(G54,Cost!$B$12:$C$36,2)</f>
        <v>4250</v>
      </c>
      <c r="R54" s="6">
        <f>-PMT(0.04,Summary!$D$46,Q54)/H54*1000</f>
        <v>35.036633966694389</v>
      </c>
      <c r="T54" s="10">
        <f t="shared" si="3"/>
        <v>727.33333333333337</v>
      </c>
      <c r="AB54">
        <v>205</v>
      </c>
    </row>
    <row r="55" spans="1:28">
      <c r="A55">
        <f t="shared" si="11"/>
        <v>5</v>
      </c>
      <c r="B55">
        <f t="shared" si="12"/>
        <v>9</v>
      </c>
      <c r="C55">
        <f t="shared" si="5"/>
        <v>49</v>
      </c>
      <c r="D55" s="1">
        <v>1502</v>
      </c>
      <c r="E55">
        <f t="shared" si="6"/>
        <v>480</v>
      </c>
      <c r="F55">
        <f t="shared" si="13"/>
        <v>387</v>
      </c>
      <c r="G55">
        <f t="shared" si="13"/>
        <v>15</v>
      </c>
      <c r="H55">
        <f t="shared" si="13"/>
        <v>12671</v>
      </c>
      <c r="I55">
        <f t="shared" si="13"/>
        <v>6916</v>
      </c>
      <c r="J55">
        <f t="shared" si="13"/>
        <v>634</v>
      </c>
      <c r="K55">
        <f t="shared" si="13"/>
        <v>6.7</v>
      </c>
      <c r="L55">
        <f t="shared" si="13"/>
        <v>1267</v>
      </c>
      <c r="M55">
        <f t="shared" si="13"/>
        <v>3.4</v>
      </c>
      <c r="N55">
        <f t="shared" si="13"/>
        <v>1901</v>
      </c>
      <c r="O55">
        <f t="shared" si="13"/>
        <v>2.2000000000000002</v>
      </c>
      <c r="Q55">
        <f>VLOOKUP(G55,Cost!$B$12:$C$36,2)</f>
        <v>4250</v>
      </c>
      <c r="R55" s="6">
        <f>-PMT(0.04,Summary!$D$46,Q55)/H55*1000</f>
        <v>30.167285658324978</v>
      </c>
      <c r="T55" s="10">
        <f t="shared" si="3"/>
        <v>844.73333333333335</v>
      </c>
      <c r="AB55" t="s">
        <v>92</v>
      </c>
    </row>
    <row r="56" spans="1:28">
      <c r="A56">
        <f t="shared" si="11"/>
        <v>5</v>
      </c>
      <c r="B56">
        <f t="shared" si="12"/>
        <v>10</v>
      </c>
      <c r="C56">
        <f t="shared" si="5"/>
        <v>50</v>
      </c>
      <c r="D56">
        <v>2.8</v>
      </c>
      <c r="E56">
        <f t="shared" si="6"/>
        <v>490</v>
      </c>
      <c r="F56">
        <f t="shared" si="13"/>
        <v>388</v>
      </c>
      <c r="G56">
        <f t="shared" si="13"/>
        <v>15</v>
      </c>
      <c r="H56">
        <f t="shared" si="13"/>
        <v>11279</v>
      </c>
      <c r="I56">
        <f t="shared" si="13"/>
        <v>6916</v>
      </c>
      <c r="J56">
        <f t="shared" si="13"/>
        <v>564</v>
      </c>
      <c r="K56">
        <f t="shared" si="13"/>
        <v>7.5</v>
      </c>
      <c r="L56">
        <f t="shared" si="13"/>
        <v>1128</v>
      </c>
      <c r="M56">
        <f t="shared" si="13"/>
        <v>3.8</v>
      </c>
      <c r="N56">
        <f t="shared" si="13"/>
        <v>1692</v>
      </c>
      <c r="O56">
        <f t="shared" si="13"/>
        <v>2.5</v>
      </c>
      <c r="Q56">
        <f>VLOOKUP(G56,Cost!$B$12:$C$36,2)</f>
        <v>4250</v>
      </c>
      <c r="R56" s="6">
        <f>-PMT(0.04,Summary!$D$46,Q56)/H56*1000</f>
        <v>33.890387142178902</v>
      </c>
      <c r="T56" s="10">
        <f t="shared" si="3"/>
        <v>751.93333333333328</v>
      </c>
      <c r="AB56">
        <v>15</v>
      </c>
    </row>
    <row r="57" spans="1:28">
      <c r="A57">
        <f t="shared" si="11"/>
        <v>6</v>
      </c>
      <c r="B57">
        <f t="shared" si="12"/>
        <v>1</v>
      </c>
      <c r="C57">
        <f t="shared" si="5"/>
        <v>51</v>
      </c>
      <c r="D57">
        <v>207</v>
      </c>
      <c r="E57">
        <f t="shared" si="6"/>
        <v>500</v>
      </c>
      <c r="F57">
        <f t="shared" si="13"/>
        <v>389</v>
      </c>
      <c r="G57">
        <f t="shared" si="13"/>
        <v>15</v>
      </c>
      <c r="H57">
        <f t="shared" si="13"/>
        <v>18732</v>
      </c>
      <c r="I57">
        <f t="shared" si="13"/>
        <v>6916</v>
      </c>
      <c r="J57">
        <f t="shared" si="13"/>
        <v>937</v>
      </c>
      <c r="K57">
        <f t="shared" si="13"/>
        <v>4.5</v>
      </c>
      <c r="L57">
        <f t="shared" si="13"/>
        <v>1873</v>
      </c>
      <c r="M57">
        <f t="shared" si="13"/>
        <v>2.2999999999999998</v>
      </c>
      <c r="N57">
        <f t="shared" si="13"/>
        <v>2810</v>
      </c>
      <c r="O57">
        <f t="shared" si="13"/>
        <v>1.5</v>
      </c>
      <c r="Q57">
        <f>VLOOKUP(G57,Cost!$B$12:$C$36,2)</f>
        <v>4250</v>
      </c>
      <c r="R57" s="6">
        <f>-PMT(0.04,Summary!$D$46,Q57)/H57*1000</f>
        <v>20.406239407251537</v>
      </c>
      <c r="T57" s="10">
        <f t="shared" si="3"/>
        <v>1248.8</v>
      </c>
      <c r="AB57">
        <v>2.4</v>
      </c>
    </row>
    <row r="58" spans="1:28">
      <c r="A58">
        <f t="shared" si="11"/>
        <v>6</v>
      </c>
      <c r="B58">
        <f t="shared" si="12"/>
        <v>2</v>
      </c>
      <c r="C58">
        <f t="shared" si="5"/>
        <v>52</v>
      </c>
      <c r="D58">
        <v>25</v>
      </c>
      <c r="E58">
        <f t="shared" si="6"/>
        <v>510</v>
      </c>
      <c r="F58">
        <f t="shared" si="13"/>
        <v>407</v>
      </c>
      <c r="G58">
        <f t="shared" si="13"/>
        <v>7.5</v>
      </c>
      <c r="H58">
        <f t="shared" si="13"/>
        <v>9853</v>
      </c>
      <c r="I58">
        <f t="shared" si="13"/>
        <v>8736</v>
      </c>
      <c r="J58">
        <f t="shared" si="13"/>
        <v>493</v>
      </c>
      <c r="K58">
        <f t="shared" si="13"/>
        <v>6.8</v>
      </c>
      <c r="L58">
        <f t="shared" si="13"/>
        <v>985</v>
      </c>
      <c r="M58">
        <f t="shared" si="13"/>
        <v>3.4</v>
      </c>
      <c r="N58">
        <f t="shared" si="13"/>
        <v>1478</v>
      </c>
      <c r="O58">
        <f t="shared" si="13"/>
        <v>2.2999999999999998</v>
      </c>
      <c r="Q58">
        <f>VLOOKUP(G58,Cost!$B$12:$C$36,2)</f>
        <v>3350</v>
      </c>
      <c r="R58" s="6">
        <f>-PMT(0.04,Summary!$D$46,Q58)/H58*1000</f>
        <v>30.579791560211103</v>
      </c>
      <c r="T58" s="10">
        <f t="shared" si="3"/>
        <v>1313.7333333333333</v>
      </c>
      <c r="AB58">
        <v>3631</v>
      </c>
    </row>
    <row r="59" spans="1:28">
      <c r="A59">
        <f t="shared" si="11"/>
        <v>6</v>
      </c>
      <c r="B59">
        <f t="shared" si="12"/>
        <v>3</v>
      </c>
      <c r="C59">
        <f t="shared" si="5"/>
        <v>53</v>
      </c>
      <c r="D59" s="1">
        <v>36876</v>
      </c>
      <c r="E59">
        <f t="shared" si="6"/>
        <v>520</v>
      </c>
      <c r="F59">
        <f t="shared" si="13"/>
        <v>408</v>
      </c>
      <c r="G59">
        <f t="shared" si="13"/>
        <v>10</v>
      </c>
      <c r="H59">
        <f t="shared" si="13"/>
        <v>9441</v>
      </c>
      <c r="I59">
        <f t="shared" si="13"/>
        <v>8736</v>
      </c>
      <c r="J59">
        <f t="shared" si="13"/>
        <v>472</v>
      </c>
      <c r="K59">
        <f t="shared" si="13"/>
        <v>7.1</v>
      </c>
      <c r="L59">
        <f t="shared" si="13"/>
        <v>944</v>
      </c>
      <c r="M59">
        <f t="shared" si="13"/>
        <v>3.5</v>
      </c>
      <c r="N59">
        <f t="shared" si="13"/>
        <v>1416</v>
      </c>
      <c r="O59">
        <f t="shared" si="13"/>
        <v>2.4</v>
      </c>
      <c r="Q59">
        <f>VLOOKUP(G59,Cost!$B$12:$C$36,2)</f>
        <v>3350</v>
      </c>
      <c r="R59" s="6">
        <f>-PMT(0.04,Summary!$D$46,Q59)/H59*1000</f>
        <v>31.914276691320833</v>
      </c>
      <c r="T59" s="10">
        <f t="shared" si="3"/>
        <v>944.1</v>
      </c>
      <c r="AB59">
        <v>5805</v>
      </c>
    </row>
    <row r="60" spans="1:28">
      <c r="A60">
        <f t="shared" si="11"/>
        <v>6</v>
      </c>
      <c r="B60">
        <f t="shared" si="12"/>
        <v>4</v>
      </c>
      <c r="C60">
        <f t="shared" si="5"/>
        <v>54</v>
      </c>
      <c r="D60" s="1">
        <v>5460</v>
      </c>
      <c r="E60">
        <f t="shared" si="6"/>
        <v>530</v>
      </c>
      <c r="F60">
        <f t="shared" si="13"/>
        <v>409</v>
      </c>
      <c r="G60">
        <f t="shared" si="13"/>
        <v>15</v>
      </c>
      <c r="H60">
        <f t="shared" si="13"/>
        <v>6465</v>
      </c>
      <c r="I60">
        <f t="shared" si="13"/>
        <v>8736</v>
      </c>
      <c r="J60">
        <f t="shared" si="13"/>
        <v>323</v>
      </c>
      <c r="K60">
        <f t="shared" si="13"/>
        <v>13.1</v>
      </c>
      <c r="L60">
        <f t="shared" si="13"/>
        <v>647</v>
      </c>
      <c r="M60">
        <f t="shared" si="13"/>
        <v>6.6</v>
      </c>
      <c r="N60">
        <f t="shared" si="13"/>
        <v>970</v>
      </c>
      <c r="O60">
        <f t="shared" si="13"/>
        <v>4.4000000000000004</v>
      </c>
      <c r="Q60">
        <f>VLOOKUP(G60,Cost!$B$12:$C$36,2)</f>
        <v>4250</v>
      </c>
      <c r="R60" s="6">
        <f>-PMT(0.04,Summary!$D$46,Q60)/H60*1000</f>
        <v>59.126013391591002</v>
      </c>
      <c r="T60" s="10">
        <f t="shared" si="3"/>
        <v>431</v>
      </c>
      <c r="AB60">
        <v>1.6</v>
      </c>
    </row>
    <row r="61" spans="1:28">
      <c r="A61">
        <f t="shared" si="11"/>
        <v>6</v>
      </c>
      <c r="B61">
        <f t="shared" si="12"/>
        <v>5</v>
      </c>
      <c r="C61">
        <f t="shared" si="5"/>
        <v>55</v>
      </c>
      <c r="D61" s="1">
        <v>1844</v>
      </c>
      <c r="E61">
        <f t="shared" si="6"/>
        <v>540</v>
      </c>
      <c r="F61">
        <f t="shared" si="13"/>
        <v>410</v>
      </c>
      <c r="G61">
        <f t="shared" si="13"/>
        <v>25</v>
      </c>
      <c r="H61">
        <f t="shared" si="13"/>
        <v>30264</v>
      </c>
      <c r="I61">
        <f t="shared" si="13"/>
        <v>8736</v>
      </c>
      <c r="J61">
        <f t="shared" si="13"/>
        <v>1513</v>
      </c>
      <c r="K61">
        <f t="shared" si="13"/>
        <v>2.8</v>
      </c>
      <c r="L61">
        <f t="shared" si="13"/>
        <v>3026</v>
      </c>
      <c r="M61">
        <f t="shared" si="13"/>
        <v>1.4</v>
      </c>
      <c r="N61">
        <f t="shared" si="13"/>
        <v>4540</v>
      </c>
      <c r="O61">
        <f t="shared" si="13"/>
        <v>0.9</v>
      </c>
      <c r="Q61">
        <f>VLOOKUP(G61,Cost!$B$12:$C$36,2)</f>
        <v>4892</v>
      </c>
      <c r="R61" s="6">
        <f>-PMT(0.04,Summary!$D$46,Q61)/H61*1000</f>
        <v>14.53845701212003</v>
      </c>
      <c r="T61" s="10">
        <f t="shared" si="3"/>
        <v>1210.56</v>
      </c>
      <c r="AB61">
        <v>679</v>
      </c>
    </row>
    <row r="62" spans="1:28">
      <c r="A62">
        <f t="shared" si="11"/>
        <v>6</v>
      </c>
      <c r="B62">
        <f t="shared" si="12"/>
        <v>6</v>
      </c>
      <c r="C62">
        <f t="shared" si="5"/>
        <v>56</v>
      </c>
      <c r="D62">
        <v>2.7</v>
      </c>
      <c r="E62">
        <f t="shared" si="6"/>
        <v>550</v>
      </c>
      <c r="F62">
        <f t="shared" si="13"/>
        <v>411</v>
      </c>
      <c r="G62">
        <f t="shared" si="13"/>
        <v>25</v>
      </c>
      <c r="H62">
        <f t="shared" si="13"/>
        <v>21681</v>
      </c>
      <c r="I62">
        <f t="shared" si="13"/>
        <v>8736</v>
      </c>
      <c r="J62">
        <f t="shared" si="13"/>
        <v>1084</v>
      </c>
      <c r="K62">
        <f t="shared" si="13"/>
        <v>4.4000000000000004</v>
      </c>
      <c r="L62">
        <f t="shared" si="13"/>
        <v>2168</v>
      </c>
      <c r="M62">
        <f t="shared" si="13"/>
        <v>2.2000000000000002</v>
      </c>
      <c r="N62">
        <f t="shared" si="13"/>
        <v>3252</v>
      </c>
      <c r="O62">
        <f t="shared" si="13"/>
        <v>1.5</v>
      </c>
      <c r="Q62">
        <f>VLOOKUP(G62,Cost!$B$12:$C$36,2)</f>
        <v>4892</v>
      </c>
      <c r="R62" s="6">
        <f>-PMT(0.04,Summary!$D$46,Q62)/H62*1000</f>
        <v>20.293891564724902</v>
      </c>
      <c r="T62" s="10">
        <f t="shared" si="3"/>
        <v>867.24</v>
      </c>
      <c r="AB62">
        <v>5777</v>
      </c>
    </row>
    <row r="63" spans="1:28">
      <c r="A63">
        <f t="shared" si="11"/>
        <v>6</v>
      </c>
      <c r="B63">
        <f t="shared" si="12"/>
        <v>7</v>
      </c>
      <c r="C63">
        <f t="shared" si="5"/>
        <v>57</v>
      </c>
      <c r="D63" s="1">
        <v>3688</v>
      </c>
      <c r="E63">
        <f t="shared" si="6"/>
        <v>560</v>
      </c>
      <c r="F63">
        <f t="shared" si="13"/>
        <v>423</v>
      </c>
      <c r="G63">
        <f t="shared" si="13"/>
        <v>10</v>
      </c>
      <c r="H63">
        <f t="shared" si="13"/>
        <v>7592</v>
      </c>
      <c r="I63">
        <f t="shared" si="13"/>
        <v>4420</v>
      </c>
      <c r="J63">
        <f t="shared" si="13"/>
        <v>380</v>
      </c>
      <c r="K63">
        <f t="shared" si="13"/>
        <v>11.2</v>
      </c>
      <c r="L63">
        <f t="shared" si="13"/>
        <v>759</v>
      </c>
      <c r="M63">
        <f t="shared" si="13"/>
        <v>5.6</v>
      </c>
      <c r="N63">
        <f t="shared" si="13"/>
        <v>1139</v>
      </c>
      <c r="O63">
        <f t="shared" si="13"/>
        <v>3.7</v>
      </c>
      <c r="Q63">
        <f>VLOOKUP(G63,Cost!$B$12:$C$36,2)</f>
        <v>3350</v>
      </c>
      <c r="R63" s="6">
        <f>-PMT(0.04,Summary!$D$46,Q63)/H63*1000</f>
        <v>39.686865943461541</v>
      </c>
      <c r="T63" s="10">
        <f t="shared" si="3"/>
        <v>759.2</v>
      </c>
      <c r="AB63">
        <v>1.59</v>
      </c>
    </row>
    <row r="64" spans="1:28">
      <c r="A64">
        <f t="shared" si="11"/>
        <v>6</v>
      </c>
      <c r="B64">
        <f t="shared" si="12"/>
        <v>8</v>
      </c>
      <c r="C64">
        <f t="shared" si="5"/>
        <v>58</v>
      </c>
      <c r="D64">
        <v>1.3</v>
      </c>
      <c r="E64">
        <f t="shared" si="6"/>
        <v>570</v>
      </c>
      <c r="F64">
        <f t="shared" si="13"/>
        <v>424</v>
      </c>
      <c r="G64">
        <f t="shared" si="13"/>
        <v>10</v>
      </c>
      <c r="H64">
        <f t="shared" si="13"/>
        <v>7768</v>
      </c>
      <c r="I64">
        <f t="shared" si="13"/>
        <v>4420</v>
      </c>
      <c r="J64">
        <f t="shared" si="13"/>
        <v>388</v>
      </c>
      <c r="K64">
        <f t="shared" si="13"/>
        <v>10.9</v>
      </c>
      <c r="L64">
        <f t="shared" si="13"/>
        <v>777</v>
      </c>
      <c r="M64">
        <f t="shared" si="13"/>
        <v>5.5</v>
      </c>
      <c r="N64">
        <f t="shared" si="13"/>
        <v>1165</v>
      </c>
      <c r="O64">
        <f t="shared" si="13"/>
        <v>3.6</v>
      </c>
      <c r="Q64">
        <f>VLOOKUP(G64,Cost!$B$12:$C$36,2)</f>
        <v>3350</v>
      </c>
      <c r="R64" s="6">
        <f>-PMT(0.04,Summary!$D$46,Q64)/H64*1000</f>
        <v>38.787678455556126</v>
      </c>
      <c r="T64" s="10">
        <f t="shared" si="3"/>
        <v>776.8</v>
      </c>
      <c r="AB64">
        <v>675</v>
      </c>
    </row>
    <row r="65" spans="1:28">
      <c r="A65">
        <f t="shared" si="11"/>
        <v>6</v>
      </c>
      <c r="B65">
        <f t="shared" si="12"/>
        <v>9</v>
      </c>
      <c r="C65">
        <f t="shared" si="5"/>
        <v>59</v>
      </c>
      <c r="D65" s="1">
        <v>5531</v>
      </c>
      <c r="E65">
        <f t="shared" si="6"/>
        <v>580</v>
      </c>
      <c r="F65">
        <f t="shared" si="13"/>
        <v>425</v>
      </c>
      <c r="G65">
        <f t="shared" si="13"/>
        <v>10</v>
      </c>
      <c r="H65">
        <f t="shared" si="13"/>
        <v>9205</v>
      </c>
      <c r="I65">
        <f t="shared" si="13"/>
        <v>4420</v>
      </c>
      <c r="J65">
        <f t="shared" si="13"/>
        <v>460</v>
      </c>
      <c r="K65">
        <f t="shared" si="13"/>
        <v>9.1999999999999993</v>
      </c>
      <c r="L65">
        <f t="shared" si="13"/>
        <v>920</v>
      </c>
      <c r="M65">
        <f t="shared" si="13"/>
        <v>4.5999999999999996</v>
      </c>
      <c r="N65">
        <f t="shared" si="13"/>
        <v>1381</v>
      </c>
      <c r="O65">
        <f t="shared" si="13"/>
        <v>3.1</v>
      </c>
      <c r="Q65">
        <f>VLOOKUP(G65,Cost!$B$12:$C$36,2)</f>
        <v>3350</v>
      </c>
      <c r="R65" s="6">
        <f>-PMT(0.04,Summary!$D$46,Q65)/H65*1000</f>
        <v>32.732502579332966</v>
      </c>
      <c r="T65" s="10">
        <f t="shared" si="3"/>
        <v>920.5</v>
      </c>
      <c r="AB65">
        <v>106</v>
      </c>
    </row>
    <row r="66" spans="1:28">
      <c r="A66">
        <f t="shared" si="11"/>
        <v>6</v>
      </c>
      <c r="B66">
        <f t="shared" si="12"/>
        <v>10</v>
      </c>
      <c r="C66">
        <f t="shared" si="5"/>
        <v>60</v>
      </c>
      <c r="D66">
        <v>0.9</v>
      </c>
      <c r="E66">
        <f t="shared" si="6"/>
        <v>590</v>
      </c>
      <c r="F66">
        <f t="shared" si="13"/>
        <v>426</v>
      </c>
      <c r="G66">
        <f t="shared" si="13"/>
        <v>10</v>
      </c>
      <c r="H66">
        <f t="shared" si="13"/>
        <v>7960</v>
      </c>
      <c r="I66">
        <f t="shared" si="13"/>
        <v>4420</v>
      </c>
      <c r="J66">
        <f t="shared" si="13"/>
        <v>398</v>
      </c>
      <c r="K66">
        <f t="shared" si="13"/>
        <v>10.7</v>
      </c>
      <c r="L66">
        <f t="shared" si="13"/>
        <v>796</v>
      </c>
      <c r="M66">
        <f t="shared" si="13"/>
        <v>5.3</v>
      </c>
      <c r="N66">
        <f t="shared" si="13"/>
        <v>1194</v>
      </c>
      <c r="O66">
        <f t="shared" si="13"/>
        <v>3.6</v>
      </c>
      <c r="Q66">
        <f>VLOOKUP(G66,Cost!$B$12:$C$36,2)</f>
        <v>3350</v>
      </c>
      <c r="R66" s="6">
        <f>-PMT(0.04,Summary!$D$46,Q66)/H66*1000</f>
        <v>37.852096261653266</v>
      </c>
      <c r="T66" s="10">
        <f t="shared" si="3"/>
        <v>796</v>
      </c>
      <c r="AB66">
        <v>206</v>
      </c>
    </row>
    <row r="67" spans="1:28">
      <c r="A67">
        <f t="shared" si="11"/>
        <v>7</v>
      </c>
      <c r="B67">
        <f t="shared" si="12"/>
        <v>1</v>
      </c>
      <c r="C67">
        <f t="shared" si="5"/>
        <v>61</v>
      </c>
      <c r="D67">
        <v>209</v>
      </c>
      <c r="E67">
        <f t="shared" si="6"/>
        <v>600</v>
      </c>
      <c r="F67">
        <f t="shared" si="13"/>
        <v>427</v>
      </c>
      <c r="G67">
        <f t="shared" si="13"/>
        <v>10</v>
      </c>
      <c r="H67">
        <f t="shared" si="13"/>
        <v>9867</v>
      </c>
      <c r="I67">
        <f t="shared" si="13"/>
        <v>4420</v>
      </c>
      <c r="J67">
        <f t="shared" si="13"/>
        <v>493</v>
      </c>
      <c r="K67">
        <f t="shared" si="13"/>
        <v>8.6</v>
      </c>
      <c r="L67">
        <f t="shared" si="13"/>
        <v>987</v>
      </c>
      <c r="M67">
        <f t="shared" si="13"/>
        <v>4.3</v>
      </c>
      <c r="N67">
        <f t="shared" si="13"/>
        <v>1480</v>
      </c>
      <c r="O67">
        <f t="shared" si="13"/>
        <v>2.9</v>
      </c>
      <c r="Q67">
        <f>VLOOKUP(G67,Cost!$B$12:$C$36,2)</f>
        <v>3350</v>
      </c>
      <c r="R67" s="6">
        <f>-PMT(0.04,Summary!$D$46,Q67)/H67*1000</f>
        <v>30.536402781266847</v>
      </c>
      <c r="T67" s="10">
        <f t="shared" si="3"/>
        <v>986.7</v>
      </c>
      <c r="AB67" t="s">
        <v>92</v>
      </c>
    </row>
    <row r="68" spans="1:28">
      <c r="A68">
        <f t="shared" si="11"/>
        <v>7</v>
      </c>
      <c r="B68">
        <f t="shared" si="12"/>
        <v>2</v>
      </c>
      <c r="C68">
        <f t="shared" si="5"/>
        <v>62</v>
      </c>
      <c r="D68">
        <v>5</v>
      </c>
      <c r="E68">
        <f t="shared" si="6"/>
        <v>610</v>
      </c>
      <c r="AB68">
        <v>10</v>
      </c>
    </row>
    <row r="69" spans="1:28">
      <c r="A69">
        <f t="shared" si="11"/>
        <v>7</v>
      </c>
      <c r="B69">
        <f t="shared" si="12"/>
        <v>3</v>
      </c>
      <c r="C69">
        <f t="shared" si="5"/>
        <v>63</v>
      </c>
      <c r="D69" s="1">
        <v>4957</v>
      </c>
      <c r="E69">
        <f t="shared" si="6"/>
        <v>620</v>
      </c>
      <c r="G69">
        <v>10</v>
      </c>
      <c r="H69" s="5">
        <f>AVERAGEIF($G$7:$G$67,G69,$H$7:$H$67)</f>
        <v>8920.9500000000007</v>
      </c>
      <c r="I69" s="50">
        <f>H69/G69</f>
        <v>892.09500000000003</v>
      </c>
      <c r="R69" s="7">
        <f>SUMPRODUCT(H7:H67,R7:R67)/SUM(H7:H67)</f>
        <v>24.323819370354112</v>
      </c>
      <c r="AB69">
        <v>2.8</v>
      </c>
    </row>
    <row r="70" spans="1:28">
      <c r="A70">
        <f t="shared" si="11"/>
        <v>7</v>
      </c>
      <c r="B70">
        <f t="shared" si="12"/>
        <v>4</v>
      </c>
      <c r="C70">
        <f t="shared" si="5"/>
        <v>64</v>
      </c>
      <c r="D70" s="1">
        <v>5460</v>
      </c>
      <c r="E70">
        <f t="shared" si="6"/>
        <v>630</v>
      </c>
      <c r="G70">
        <v>15</v>
      </c>
      <c r="H70" s="5">
        <f t="shared" ref="H70:H72" si="14">AVERAGEIF($G$7:$G$67,G70,$H$7:$H$67)</f>
        <v>10952</v>
      </c>
      <c r="I70" s="50">
        <f t="shared" ref="I70:I72" si="15">H70/G70</f>
        <v>730.13333333333333</v>
      </c>
      <c r="AB70">
        <v>2588</v>
      </c>
    </row>
    <row r="71" spans="1:28">
      <c r="A71">
        <f t="shared" si="11"/>
        <v>7</v>
      </c>
      <c r="B71">
        <f t="shared" si="12"/>
        <v>5</v>
      </c>
      <c r="C71">
        <f t="shared" si="5"/>
        <v>65</v>
      </c>
      <c r="D71">
        <v>248</v>
      </c>
      <c r="E71">
        <f t="shared" si="6"/>
        <v>640</v>
      </c>
      <c r="G71">
        <v>20</v>
      </c>
      <c r="H71" s="5">
        <f t="shared" si="14"/>
        <v>27967</v>
      </c>
      <c r="I71" s="50">
        <f t="shared" si="15"/>
        <v>1398.35</v>
      </c>
      <c r="AB71">
        <v>5139</v>
      </c>
    </row>
    <row r="72" spans="1:28">
      <c r="A72">
        <f t="shared" si="11"/>
        <v>7</v>
      </c>
      <c r="B72">
        <f t="shared" si="12"/>
        <v>6</v>
      </c>
      <c r="C72">
        <f t="shared" si="5"/>
        <v>66</v>
      </c>
      <c r="D72">
        <v>11.9</v>
      </c>
      <c r="E72">
        <f t="shared" si="6"/>
        <v>650</v>
      </c>
      <c r="G72">
        <v>25</v>
      </c>
      <c r="H72" s="5">
        <f t="shared" si="14"/>
        <v>31930.76923076923</v>
      </c>
      <c r="I72" s="50">
        <f t="shared" si="15"/>
        <v>1277.2307692307693</v>
      </c>
      <c r="AB72">
        <v>1.99</v>
      </c>
    </row>
    <row r="73" spans="1:28">
      <c r="A73">
        <f t="shared" si="11"/>
        <v>7</v>
      </c>
      <c r="B73">
        <f t="shared" si="12"/>
        <v>7</v>
      </c>
      <c r="C73">
        <f t="shared" ref="C73:C136" si="16">C72+1</f>
        <v>67</v>
      </c>
      <c r="D73">
        <v>496</v>
      </c>
      <c r="E73">
        <f t="shared" ref="E73:E136" si="17">E72+10</f>
        <v>660</v>
      </c>
      <c r="AB73">
        <v>702</v>
      </c>
    </row>
    <row r="74" spans="1:28">
      <c r="A74">
        <f t="shared" si="11"/>
        <v>7</v>
      </c>
      <c r="B74">
        <f t="shared" si="12"/>
        <v>8</v>
      </c>
      <c r="C74">
        <f t="shared" si="16"/>
        <v>68</v>
      </c>
      <c r="D74">
        <v>6</v>
      </c>
      <c r="E74">
        <f t="shared" si="17"/>
        <v>670</v>
      </c>
      <c r="AB74">
        <v>4951</v>
      </c>
    </row>
    <row r="75" spans="1:28">
      <c r="A75">
        <f t="shared" si="11"/>
        <v>7</v>
      </c>
      <c r="B75">
        <f t="shared" si="12"/>
        <v>9</v>
      </c>
      <c r="C75">
        <f t="shared" si="16"/>
        <v>69</v>
      </c>
      <c r="D75">
        <v>744</v>
      </c>
      <c r="E75">
        <f t="shared" si="17"/>
        <v>680</v>
      </c>
      <c r="AB75">
        <v>1.91</v>
      </c>
    </row>
    <row r="76" spans="1:28">
      <c r="A76">
        <f t="shared" si="11"/>
        <v>7</v>
      </c>
      <c r="B76">
        <f t="shared" si="12"/>
        <v>10</v>
      </c>
      <c r="C76">
        <f t="shared" si="16"/>
        <v>70</v>
      </c>
      <c r="D76">
        <v>4</v>
      </c>
      <c r="E76">
        <f t="shared" si="17"/>
        <v>690</v>
      </c>
      <c r="AB76">
        <v>676</v>
      </c>
    </row>
    <row r="77" spans="1:28">
      <c r="A77">
        <f t="shared" si="11"/>
        <v>8</v>
      </c>
      <c r="B77">
        <f t="shared" si="12"/>
        <v>1</v>
      </c>
      <c r="C77">
        <f t="shared" si="16"/>
        <v>71</v>
      </c>
      <c r="D77">
        <v>210</v>
      </c>
      <c r="E77">
        <f t="shared" si="17"/>
        <v>700</v>
      </c>
      <c r="AB77">
        <v>191</v>
      </c>
    </row>
    <row r="78" spans="1:28">
      <c r="A78">
        <f t="shared" si="11"/>
        <v>8</v>
      </c>
      <c r="B78">
        <f t="shared" si="12"/>
        <v>2</v>
      </c>
      <c r="C78">
        <f t="shared" si="16"/>
        <v>72</v>
      </c>
      <c r="D78">
        <v>25</v>
      </c>
      <c r="E78">
        <f t="shared" si="17"/>
        <v>710</v>
      </c>
      <c r="AB78">
        <v>207</v>
      </c>
    </row>
    <row r="79" spans="1:28">
      <c r="A79">
        <f t="shared" si="11"/>
        <v>8</v>
      </c>
      <c r="B79">
        <f t="shared" si="12"/>
        <v>3</v>
      </c>
      <c r="C79">
        <f t="shared" si="16"/>
        <v>73</v>
      </c>
      <c r="D79" s="1">
        <v>37919</v>
      </c>
      <c r="E79">
        <f t="shared" si="17"/>
        <v>720</v>
      </c>
      <c r="AB79" t="s">
        <v>92</v>
      </c>
    </row>
    <row r="80" spans="1:28">
      <c r="A80">
        <f t="shared" si="11"/>
        <v>8</v>
      </c>
      <c r="B80">
        <f t="shared" si="12"/>
        <v>4</v>
      </c>
      <c r="C80">
        <f t="shared" si="16"/>
        <v>74</v>
      </c>
      <c r="D80" s="1">
        <v>5460</v>
      </c>
      <c r="E80">
        <f t="shared" si="17"/>
        <v>730</v>
      </c>
      <c r="AB80">
        <v>25</v>
      </c>
    </row>
    <row r="81" spans="1:28">
      <c r="A81">
        <f t="shared" si="11"/>
        <v>8</v>
      </c>
      <c r="B81">
        <f t="shared" si="12"/>
        <v>5</v>
      </c>
      <c r="C81">
        <f t="shared" si="16"/>
        <v>75</v>
      </c>
      <c r="D81" s="1">
        <v>1896</v>
      </c>
      <c r="E81">
        <f t="shared" si="17"/>
        <v>740</v>
      </c>
      <c r="AB81">
        <v>8.9</v>
      </c>
    </row>
    <row r="82" spans="1:28">
      <c r="A82">
        <f t="shared" ref="A82:A145" si="18">A72+1</f>
        <v>8</v>
      </c>
      <c r="B82">
        <f t="shared" ref="B82:B145" si="19">B72</f>
        <v>6</v>
      </c>
      <c r="C82">
        <f t="shared" si="16"/>
        <v>76</v>
      </c>
      <c r="D82">
        <v>2.6</v>
      </c>
      <c r="E82">
        <f t="shared" si="17"/>
        <v>750</v>
      </c>
      <c r="AB82">
        <v>1170</v>
      </c>
    </row>
    <row r="83" spans="1:28">
      <c r="A83">
        <f t="shared" si="18"/>
        <v>8</v>
      </c>
      <c r="B83">
        <f t="shared" si="19"/>
        <v>7</v>
      </c>
      <c r="C83">
        <f t="shared" si="16"/>
        <v>77</v>
      </c>
      <c r="D83" s="1">
        <v>3792</v>
      </c>
      <c r="E83">
        <f t="shared" si="17"/>
        <v>760</v>
      </c>
      <c r="AB83">
        <v>6099</v>
      </c>
    </row>
    <row r="84" spans="1:28">
      <c r="A84">
        <f t="shared" si="18"/>
        <v>8</v>
      </c>
      <c r="B84">
        <f t="shared" si="19"/>
        <v>8</v>
      </c>
      <c r="C84">
        <f t="shared" si="16"/>
        <v>78</v>
      </c>
      <c r="D84">
        <v>1.3</v>
      </c>
      <c r="E84">
        <f t="shared" si="17"/>
        <v>770</v>
      </c>
      <c r="AB84">
        <v>5.21</v>
      </c>
    </row>
    <row r="85" spans="1:28">
      <c r="A85">
        <f t="shared" si="18"/>
        <v>8</v>
      </c>
      <c r="B85">
        <f t="shared" si="19"/>
        <v>9</v>
      </c>
      <c r="C85">
        <f t="shared" si="16"/>
        <v>79</v>
      </c>
      <c r="D85" s="1">
        <v>5688</v>
      </c>
      <c r="E85">
        <f t="shared" si="17"/>
        <v>780</v>
      </c>
      <c r="AB85">
        <v>588</v>
      </c>
    </row>
    <row r="86" spans="1:28">
      <c r="A86">
        <f t="shared" si="18"/>
        <v>8</v>
      </c>
      <c r="B86">
        <f t="shared" si="19"/>
        <v>10</v>
      </c>
      <c r="C86">
        <f t="shared" si="16"/>
        <v>80</v>
      </c>
      <c r="D86">
        <v>0.9</v>
      </c>
      <c r="E86">
        <f t="shared" si="17"/>
        <v>790</v>
      </c>
      <c r="AB86">
        <v>8059</v>
      </c>
    </row>
    <row r="87" spans="1:28">
      <c r="A87">
        <f t="shared" si="18"/>
        <v>9</v>
      </c>
      <c r="B87">
        <f t="shared" si="19"/>
        <v>1</v>
      </c>
      <c r="C87">
        <f t="shared" si="16"/>
        <v>81</v>
      </c>
      <c r="D87">
        <v>212</v>
      </c>
      <c r="E87">
        <f t="shared" si="17"/>
        <v>800</v>
      </c>
      <c r="AB87">
        <v>6.89</v>
      </c>
    </row>
    <row r="88" spans="1:28">
      <c r="A88">
        <f t="shared" si="18"/>
        <v>9</v>
      </c>
      <c r="B88">
        <f t="shared" si="19"/>
        <v>2</v>
      </c>
      <c r="C88">
        <f t="shared" si="16"/>
        <v>82</v>
      </c>
      <c r="D88">
        <v>25</v>
      </c>
      <c r="E88">
        <f t="shared" si="17"/>
        <v>810</v>
      </c>
      <c r="AB88">
        <v>777</v>
      </c>
    </row>
    <row r="89" spans="1:28">
      <c r="A89">
        <f t="shared" si="18"/>
        <v>9</v>
      </c>
      <c r="B89">
        <f t="shared" si="19"/>
        <v>3</v>
      </c>
      <c r="C89">
        <f t="shared" si="16"/>
        <v>83</v>
      </c>
      <c r="D89" s="1">
        <v>36750</v>
      </c>
      <c r="E89">
        <f t="shared" si="17"/>
        <v>820</v>
      </c>
      <c r="AB89">
        <v>276</v>
      </c>
    </row>
    <row r="90" spans="1:28">
      <c r="A90">
        <f t="shared" si="18"/>
        <v>9</v>
      </c>
      <c r="B90">
        <f t="shared" si="19"/>
        <v>4</v>
      </c>
      <c r="C90">
        <f t="shared" si="16"/>
        <v>84</v>
      </c>
      <c r="D90" s="1">
        <v>5096</v>
      </c>
      <c r="E90">
        <f t="shared" si="17"/>
        <v>830</v>
      </c>
      <c r="AB90">
        <v>209</v>
      </c>
    </row>
    <row r="91" spans="1:28">
      <c r="A91">
        <f t="shared" si="18"/>
        <v>9</v>
      </c>
      <c r="B91">
        <f t="shared" si="19"/>
        <v>5</v>
      </c>
      <c r="C91">
        <f t="shared" si="16"/>
        <v>85</v>
      </c>
      <c r="D91" s="1">
        <v>1837</v>
      </c>
      <c r="E91">
        <f t="shared" si="17"/>
        <v>840</v>
      </c>
      <c r="AB91" t="s">
        <v>92</v>
      </c>
    </row>
    <row r="92" spans="1:28">
      <c r="A92">
        <f t="shared" si="18"/>
        <v>9</v>
      </c>
      <c r="B92">
        <f t="shared" si="19"/>
        <v>6</v>
      </c>
      <c r="C92">
        <f t="shared" si="16"/>
        <v>86</v>
      </c>
      <c r="D92">
        <v>2.7</v>
      </c>
      <c r="E92">
        <f t="shared" si="17"/>
        <v>850</v>
      </c>
      <c r="AB92">
        <v>5</v>
      </c>
    </row>
    <row r="93" spans="1:28">
      <c r="A93">
        <f t="shared" si="18"/>
        <v>9</v>
      </c>
      <c r="B93">
        <f t="shared" si="19"/>
        <v>7</v>
      </c>
      <c r="C93">
        <f t="shared" si="16"/>
        <v>87</v>
      </c>
      <c r="D93" s="1">
        <v>3675</v>
      </c>
      <c r="E93">
        <f t="shared" si="17"/>
        <v>860</v>
      </c>
      <c r="AB93">
        <v>0.9</v>
      </c>
    </row>
    <row r="94" spans="1:28">
      <c r="A94">
        <f t="shared" si="18"/>
        <v>9</v>
      </c>
      <c r="B94">
        <f t="shared" si="19"/>
        <v>8</v>
      </c>
      <c r="C94">
        <f t="shared" si="16"/>
        <v>88</v>
      </c>
      <c r="D94">
        <v>1.3</v>
      </c>
      <c r="E94">
        <f t="shared" si="17"/>
        <v>870</v>
      </c>
      <c r="AB94">
        <v>3377</v>
      </c>
    </row>
    <row r="95" spans="1:28">
      <c r="A95">
        <f t="shared" si="18"/>
        <v>9</v>
      </c>
      <c r="B95">
        <f t="shared" si="19"/>
        <v>9</v>
      </c>
      <c r="C95">
        <f t="shared" si="16"/>
        <v>89</v>
      </c>
      <c r="D95" s="1">
        <v>5512</v>
      </c>
      <c r="E95">
        <f t="shared" si="17"/>
        <v>880</v>
      </c>
      <c r="AB95">
        <v>1067</v>
      </c>
    </row>
    <row r="96" spans="1:28">
      <c r="A96">
        <f t="shared" si="18"/>
        <v>9</v>
      </c>
      <c r="B96">
        <f t="shared" si="19"/>
        <v>10</v>
      </c>
      <c r="C96">
        <f t="shared" si="16"/>
        <v>90</v>
      </c>
      <c r="D96">
        <v>0.9</v>
      </c>
      <c r="E96">
        <f t="shared" si="17"/>
        <v>890</v>
      </c>
      <c r="AB96">
        <v>0.32</v>
      </c>
    </row>
    <row r="97" spans="1:28">
      <c r="A97">
        <f t="shared" si="18"/>
        <v>10</v>
      </c>
      <c r="B97">
        <f t="shared" si="19"/>
        <v>1</v>
      </c>
      <c r="C97">
        <f t="shared" si="16"/>
        <v>91</v>
      </c>
      <c r="D97">
        <v>213</v>
      </c>
      <c r="E97">
        <f t="shared" si="17"/>
        <v>900</v>
      </c>
      <c r="AB97">
        <v>338</v>
      </c>
    </row>
    <row r="98" spans="1:28">
      <c r="A98">
        <f t="shared" si="18"/>
        <v>10</v>
      </c>
      <c r="B98">
        <f t="shared" si="19"/>
        <v>2</v>
      </c>
      <c r="C98">
        <f t="shared" si="16"/>
        <v>92</v>
      </c>
      <c r="D98">
        <v>15</v>
      </c>
      <c r="E98">
        <f t="shared" si="17"/>
        <v>910</v>
      </c>
      <c r="AB98">
        <v>3443</v>
      </c>
    </row>
    <row r="99" spans="1:28">
      <c r="A99">
        <f t="shared" si="18"/>
        <v>10</v>
      </c>
      <c r="B99">
        <f t="shared" si="19"/>
        <v>3</v>
      </c>
      <c r="C99">
        <f t="shared" si="16"/>
        <v>93</v>
      </c>
      <c r="D99" s="1">
        <v>13720</v>
      </c>
      <c r="E99">
        <f t="shared" si="17"/>
        <v>920</v>
      </c>
      <c r="AB99">
        <v>1.02</v>
      </c>
    </row>
    <row r="100" spans="1:28">
      <c r="A100">
        <f t="shared" si="18"/>
        <v>10</v>
      </c>
      <c r="B100">
        <f t="shared" si="19"/>
        <v>4</v>
      </c>
      <c r="C100">
        <f t="shared" si="16"/>
        <v>94</v>
      </c>
      <c r="D100" s="1">
        <v>5096</v>
      </c>
      <c r="E100">
        <f t="shared" si="17"/>
        <v>930</v>
      </c>
      <c r="AB100">
        <v>1092</v>
      </c>
    </row>
    <row r="101" spans="1:28">
      <c r="A101">
        <f t="shared" si="18"/>
        <v>10</v>
      </c>
      <c r="B101">
        <f t="shared" si="19"/>
        <v>5</v>
      </c>
      <c r="C101">
        <f t="shared" si="16"/>
        <v>95</v>
      </c>
      <c r="D101">
        <v>686</v>
      </c>
      <c r="E101">
        <f t="shared" si="17"/>
        <v>940</v>
      </c>
      <c r="AB101">
        <v>204</v>
      </c>
    </row>
    <row r="102" spans="1:28">
      <c r="A102">
        <f t="shared" si="18"/>
        <v>10</v>
      </c>
      <c r="B102">
        <f t="shared" si="19"/>
        <v>6</v>
      </c>
      <c r="C102">
        <f t="shared" si="16"/>
        <v>96</v>
      </c>
      <c r="D102">
        <v>6.2</v>
      </c>
      <c r="E102">
        <f t="shared" si="17"/>
        <v>950</v>
      </c>
      <c r="AB102">
        <v>210</v>
      </c>
    </row>
    <row r="103" spans="1:28">
      <c r="A103">
        <f t="shared" si="18"/>
        <v>10</v>
      </c>
      <c r="B103">
        <f t="shared" si="19"/>
        <v>7</v>
      </c>
      <c r="C103">
        <f t="shared" si="16"/>
        <v>97</v>
      </c>
      <c r="D103" s="1">
        <v>1372</v>
      </c>
      <c r="E103">
        <f t="shared" si="17"/>
        <v>960</v>
      </c>
      <c r="AB103" t="s">
        <v>92</v>
      </c>
    </row>
    <row r="104" spans="1:28">
      <c r="A104">
        <f t="shared" si="18"/>
        <v>10</v>
      </c>
      <c r="B104">
        <f t="shared" si="19"/>
        <v>8</v>
      </c>
      <c r="C104">
        <f t="shared" si="16"/>
        <v>98</v>
      </c>
      <c r="D104">
        <v>3.1</v>
      </c>
      <c r="E104">
        <f t="shared" si="17"/>
        <v>970</v>
      </c>
      <c r="AB104">
        <v>25</v>
      </c>
    </row>
    <row r="105" spans="1:28">
      <c r="A105">
        <f t="shared" si="18"/>
        <v>10</v>
      </c>
      <c r="B105">
        <f t="shared" si="19"/>
        <v>9</v>
      </c>
      <c r="C105">
        <f t="shared" si="16"/>
        <v>99</v>
      </c>
      <c r="D105" s="1">
        <v>2058</v>
      </c>
      <c r="E105">
        <f t="shared" si="17"/>
        <v>980</v>
      </c>
      <c r="AB105">
        <v>11.3</v>
      </c>
    </row>
    <row r="106" spans="1:28">
      <c r="A106">
        <f t="shared" si="18"/>
        <v>10</v>
      </c>
      <c r="B106">
        <f t="shared" si="19"/>
        <v>10</v>
      </c>
      <c r="C106">
        <f t="shared" si="16"/>
        <v>100</v>
      </c>
      <c r="D106">
        <v>2.1</v>
      </c>
      <c r="E106">
        <f t="shared" si="17"/>
        <v>990</v>
      </c>
      <c r="AB106">
        <v>2109</v>
      </c>
    </row>
    <row r="107" spans="1:28">
      <c r="A107">
        <f t="shared" si="18"/>
        <v>11</v>
      </c>
      <c r="B107">
        <f t="shared" si="19"/>
        <v>1</v>
      </c>
      <c r="C107">
        <f t="shared" si="16"/>
        <v>101</v>
      </c>
      <c r="D107">
        <v>214</v>
      </c>
      <c r="E107">
        <f t="shared" si="17"/>
        <v>1000</v>
      </c>
      <c r="AB107">
        <v>14005</v>
      </c>
    </row>
    <row r="108" spans="1:28">
      <c r="A108">
        <f t="shared" si="18"/>
        <v>11</v>
      </c>
      <c r="B108">
        <f t="shared" si="19"/>
        <v>2</v>
      </c>
      <c r="C108">
        <f t="shared" si="16"/>
        <v>102</v>
      </c>
      <c r="D108">
        <v>10</v>
      </c>
      <c r="E108">
        <f t="shared" si="17"/>
        <v>1010</v>
      </c>
      <c r="AB108">
        <v>6.64</v>
      </c>
    </row>
    <row r="109" spans="1:28">
      <c r="A109">
        <f t="shared" si="18"/>
        <v>11</v>
      </c>
      <c r="B109">
        <f t="shared" si="19"/>
        <v>3</v>
      </c>
      <c r="C109">
        <f t="shared" si="16"/>
        <v>103</v>
      </c>
      <c r="D109" s="1">
        <v>8109</v>
      </c>
      <c r="E109">
        <f t="shared" si="17"/>
        <v>1020</v>
      </c>
      <c r="AB109">
        <v>589</v>
      </c>
    </row>
    <row r="110" spans="1:28">
      <c r="A110">
        <f t="shared" si="18"/>
        <v>11</v>
      </c>
      <c r="B110">
        <f t="shared" si="19"/>
        <v>4</v>
      </c>
      <c r="C110">
        <f t="shared" si="16"/>
        <v>104</v>
      </c>
      <c r="D110" s="1">
        <v>4992</v>
      </c>
      <c r="E110">
        <f t="shared" si="17"/>
        <v>1030</v>
      </c>
      <c r="AB110">
        <v>13201</v>
      </c>
    </row>
    <row r="111" spans="1:28">
      <c r="A111">
        <f t="shared" si="18"/>
        <v>11</v>
      </c>
      <c r="B111">
        <f t="shared" si="19"/>
        <v>5</v>
      </c>
      <c r="C111">
        <f t="shared" si="16"/>
        <v>105</v>
      </c>
      <c r="D111">
        <v>405</v>
      </c>
      <c r="E111">
        <f t="shared" si="17"/>
        <v>1040</v>
      </c>
      <c r="AB111">
        <v>6.26</v>
      </c>
    </row>
    <row r="112" spans="1:28">
      <c r="A112">
        <f t="shared" si="18"/>
        <v>11</v>
      </c>
      <c r="B112">
        <f t="shared" si="19"/>
        <v>6</v>
      </c>
      <c r="C112">
        <f t="shared" si="16"/>
        <v>106</v>
      </c>
      <c r="D112">
        <v>8.3000000000000007</v>
      </c>
      <c r="E112">
        <f t="shared" si="17"/>
        <v>1050</v>
      </c>
      <c r="AB112">
        <v>555</v>
      </c>
    </row>
    <row r="113" spans="1:28">
      <c r="A113">
        <f t="shared" si="18"/>
        <v>11</v>
      </c>
      <c r="B113">
        <f t="shared" si="19"/>
        <v>7</v>
      </c>
      <c r="C113">
        <f t="shared" si="16"/>
        <v>107</v>
      </c>
      <c r="D113">
        <v>811</v>
      </c>
      <c r="E113">
        <f t="shared" si="17"/>
        <v>1060</v>
      </c>
      <c r="AB113">
        <v>250</v>
      </c>
    </row>
    <row r="114" spans="1:28">
      <c r="A114">
        <f t="shared" si="18"/>
        <v>11</v>
      </c>
      <c r="B114">
        <f t="shared" si="19"/>
        <v>8</v>
      </c>
      <c r="C114">
        <f t="shared" si="16"/>
        <v>108</v>
      </c>
      <c r="D114">
        <v>4.0999999999999996</v>
      </c>
      <c r="E114">
        <f t="shared" si="17"/>
        <v>1070</v>
      </c>
      <c r="AB114">
        <v>212</v>
      </c>
    </row>
    <row r="115" spans="1:28">
      <c r="A115">
        <f t="shared" si="18"/>
        <v>11</v>
      </c>
      <c r="B115">
        <f t="shared" si="19"/>
        <v>9</v>
      </c>
      <c r="C115">
        <f t="shared" si="16"/>
        <v>109</v>
      </c>
      <c r="D115" s="1">
        <v>1216</v>
      </c>
      <c r="E115">
        <f t="shared" si="17"/>
        <v>1080</v>
      </c>
      <c r="AB115" t="s">
        <v>92</v>
      </c>
    </row>
    <row r="116" spans="1:28">
      <c r="A116">
        <f t="shared" si="18"/>
        <v>11</v>
      </c>
      <c r="B116">
        <f t="shared" si="19"/>
        <v>10</v>
      </c>
      <c r="C116">
        <f t="shared" si="16"/>
        <v>110</v>
      </c>
      <c r="D116">
        <v>2.8</v>
      </c>
      <c r="E116">
        <f t="shared" si="17"/>
        <v>1090</v>
      </c>
      <c r="AB116">
        <v>25</v>
      </c>
    </row>
    <row r="117" spans="1:28">
      <c r="A117">
        <f t="shared" si="18"/>
        <v>12</v>
      </c>
      <c r="B117">
        <f t="shared" si="19"/>
        <v>1</v>
      </c>
      <c r="C117">
        <f t="shared" si="16"/>
        <v>111</v>
      </c>
      <c r="D117">
        <v>215</v>
      </c>
      <c r="E117">
        <f t="shared" si="17"/>
        <v>1100</v>
      </c>
      <c r="AB117">
        <v>9.4</v>
      </c>
    </row>
    <row r="118" spans="1:28">
      <c r="A118">
        <f t="shared" si="18"/>
        <v>12</v>
      </c>
      <c r="B118">
        <f t="shared" si="19"/>
        <v>2</v>
      </c>
      <c r="C118">
        <f t="shared" si="16"/>
        <v>112</v>
      </c>
      <c r="D118">
        <v>10</v>
      </c>
      <c r="E118">
        <f t="shared" si="17"/>
        <v>1110</v>
      </c>
      <c r="AB118">
        <v>3605</v>
      </c>
    </row>
    <row r="119" spans="1:28">
      <c r="A119">
        <f t="shared" si="18"/>
        <v>12</v>
      </c>
      <c r="B119">
        <f t="shared" si="19"/>
        <v>3</v>
      </c>
      <c r="C119">
        <f t="shared" si="16"/>
        <v>113</v>
      </c>
      <c r="D119" s="1">
        <v>6293</v>
      </c>
      <c r="E119">
        <f t="shared" si="17"/>
        <v>1120</v>
      </c>
      <c r="AB119">
        <v>15242</v>
      </c>
    </row>
    <row r="120" spans="1:28">
      <c r="A120">
        <f t="shared" si="18"/>
        <v>12</v>
      </c>
      <c r="B120">
        <f t="shared" si="19"/>
        <v>4</v>
      </c>
      <c r="C120">
        <f t="shared" si="16"/>
        <v>114</v>
      </c>
      <c r="D120" s="1">
        <v>4992</v>
      </c>
      <c r="E120">
        <f t="shared" si="17"/>
        <v>1130</v>
      </c>
      <c r="AB120">
        <v>4.2300000000000004</v>
      </c>
    </row>
    <row r="121" spans="1:28">
      <c r="A121">
        <f t="shared" si="18"/>
        <v>12</v>
      </c>
      <c r="B121">
        <f t="shared" si="19"/>
        <v>5</v>
      </c>
      <c r="C121">
        <f t="shared" si="16"/>
        <v>115</v>
      </c>
      <c r="D121">
        <v>315</v>
      </c>
      <c r="E121">
        <f t="shared" si="17"/>
        <v>1140</v>
      </c>
      <c r="AB121">
        <v>448</v>
      </c>
    </row>
    <row r="122" spans="1:28">
      <c r="A122">
        <f t="shared" si="18"/>
        <v>12</v>
      </c>
      <c r="B122">
        <f t="shared" si="19"/>
        <v>6</v>
      </c>
      <c r="C122">
        <f t="shared" si="16"/>
        <v>116</v>
      </c>
      <c r="D122">
        <v>13.5</v>
      </c>
      <c r="E122">
        <f t="shared" si="17"/>
        <v>1150</v>
      </c>
      <c r="AB122">
        <v>27690</v>
      </c>
    </row>
    <row r="123" spans="1:28">
      <c r="A123">
        <f t="shared" si="18"/>
        <v>12</v>
      </c>
      <c r="B123">
        <f t="shared" si="19"/>
        <v>7</v>
      </c>
      <c r="C123">
        <f t="shared" si="16"/>
        <v>117</v>
      </c>
      <c r="D123">
        <v>629</v>
      </c>
      <c r="E123">
        <f t="shared" si="17"/>
        <v>1160</v>
      </c>
      <c r="AB123">
        <v>7.68</v>
      </c>
    </row>
    <row r="124" spans="1:28">
      <c r="A124">
        <f t="shared" si="18"/>
        <v>12</v>
      </c>
      <c r="B124">
        <f t="shared" si="19"/>
        <v>8</v>
      </c>
      <c r="C124">
        <f t="shared" si="16"/>
        <v>118</v>
      </c>
      <c r="D124">
        <v>6.8</v>
      </c>
      <c r="E124">
        <f t="shared" si="17"/>
        <v>1170</v>
      </c>
      <c r="AB124">
        <v>814</v>
      </c>
    </row>
    <row r="125" spans="1:28">
      <c r="A125">
        <f t="shared" si="18"/>
        <v>12</v>
      </c>
      <c r="B125">
        <f t="shared" si="19"/>
        <v>9</v>
      </c>
      <c r="C125">
        <f t="shared" si="16"/>
        <v>119</v>
      </c>
      <c r="D125">
        <v>944</v>
      </c>
      <c r="E125">
        <f t="shared" si="17"/>
        <v>1180</v>
      </c>
      <c r="AB125">
        <v>307</v>
      </c>
    </row>
    <row r="126" spans="1:28">
      <c r="A126">
        <f t="shared" si="18"/>
        <v>12</v>
      </c>
      <c r="B126">
        <f t="shared" si="19"/>
        <v>10</v>
      </c>
      <c r="C126">
        <f t="shared" si="16"/>
        <v>120</v>
      </c>
      <c r="D126">
        <v>4.5</v>
      </c>
      <c r="E126">
        <f t="shared" si="17"/>
        <v>1190</v>
      </c>
      <c r="AB126">
        <v>213</v>
      </c>
    </row>
    <row r="127" spans="1:28">
      <c r="A127">
        <f t="shared" si="18"/>
        <v>13</v>
      </c>
      <c r="B127">
        <f t="shared" si="19"/>
        <v>1</v>
      </c>
      <c r="C127">
        <f t="shared" si="16"/>
        <v>121</v>
      </c>
      <c r="D127">
        <v>217</v>
      </c>
      <c r="E127">
        <f t="shared" si="17"/>
        <v>1200</v>
      </c>
      <c r="AB127" t="s">
        <v>92</v>
      </c>
    </row>
    <row r="128" spans="1:28">
      <c r="A128">
        <f t="shared" si="18"/>
        <v>13</v>
      </c>
      <c r="B128">
        <f t="shared" si="19"/>
        <v>2</v>
      </c>
      <c r="C128">
        <f t="shared" si="16"/>
        <v>122</v>
      </c>
      <c r="D128">
        <v>10</v>
      </c>
      <c r="E128">
        <f t="shared" si="17"/>
        <v>1210</v>
      </c>
      <c r="AB128">
        <v>15</v>
      </c>
    </row>
    <row r="129" spans="1:28">
      <c r="A129">
        <f t="shared" si="18"/>
        <v>13</v>
      </c>
      <c r="B129">
        <f t="shared" si="19"/>
        <v>3</v>
      </c>
      <c r="C129">
        <f t="shared" si="16"/>
        <v>123</v>
      </c>
      <c r="D129" s="1">
        <v>6334</v>
      </c>
      <c r="E129">
        <f t="shared" si="17"/>
        <v>1220</v>
      </c>
      <c r="AB129">
        <v>3.8</v>
      </c>
    </row>
    <row r="130" spans="1:28">
      <c r="A130">
        <f t="shared" si="18"/>
        <v>13</v>
      </c>
      <c r="B130">
        <f t="shared" si="19"/>
        <v>4</v>
      </c>
      <c r="C130">
        <f t="shared" si="16"/>
        <v>124</v>
      </c>
      <c r="D130" s="1">
        <v>5096</v>
      </c>
      <c r="E130">
        <f t="shared" si="17"/>
        <v>1230</v>
      </c>
      <c r="AB130">
        <v>3522</v>
      </c>
    </row>
    <row r="131" spans="1:28">
      <c r="A131">
        <f t="shared" si="18"/>
        <v>13</v>
      </c>
      <c r="B131">
        <f t="shared" si="19"/>
        <v>5</v>
      </c>
      <c r="C131">
        <f t="shared" si="16"/>
        <v>125</v>
      </c>
      <c r="D131">
        <v>317</v>
      </c>
      <c r="E131">
        <f t="shared" si="17"/>
        <v>1240</v>
      </c>
      <c r="AB131">
        <v>9191</v>
      </c>
    </row>
    <row r="132" spans="1:28">
      <c r="A132">
        <f t="shared" si="18"/>
        <v>13</v>
      </c>
      <c r="B132">
        <f t="shared" si="19"/>
        <v>6</v>
      </c>
      <c r="C132">
        <f t="shared" si="16"/>
        <v>126</v>
      </c>
      <c r="D132">
        <v>13.4</v>
      </c>
      <c r="E132">
        <f t="shared" si="17"/>
        <v>1250</v>
      </c>
      <c r="AB132">
        <v>2.61</v>
      </c>
    </row>
    <row r="133" spans="1:28">
      <c r="A133">
        <f t="shared" si="18"/>
        <v>13</v>
      </c>
      <c r="B133">
        <f t="shared" si="19"/>
        <v>7</v>
      </c>
      <c r="C133">
        <f t="shared" si="16"/>
        <v>127</v>
      </c>
      <c r="D133">
        <v>633</v>
      </c>
      <c r="E133">
        <f t="shared" si="17"/>
        <v>1260</v>
      </c>
      <c r="AB133">
        <v>686</v>
      </c>
    </row>
    <row r="134" spans="1:28">
      <c r="A134">
        <f t="shared" si="18"/>
        <v>13</v>
      </c>
      <c r="B134">
        <f t="shared" si="19"/>
        <v>8</v>
      </c>
      <c r="C134">
        <f t="shared" si="16"/>
        <v>128</v>
      </c>
      <c r="D134">
        <v>6.7</v>
      </c>
      <c r="E134">
        <f t="shared" si="17"/>
        <v>1270</v>
      </c>
      <c r="AB134">
        <v>9726</v>
      </c>
    </row>
    <row r="135" spans="1:28">
      <c r="A135">
        <f t="shared" si="18"/>
        <v>13</v>
      </c>
      <c r="B135">
        <f t="shared" si="19"/>
        <v>9</v>
      </c>
      <c r="C135">
        <f t="shared" si="16"/>
        <v>129</v>
      </c>
      <c r="D135">
        <v>950</v>
      </c>
      <c r="E135">
        <f t="shared" si="17"/>
        <v>1280</v>
      </c>
      <c r="AB135">
        <v>2.76</v>
      </c>
    </row>
    <row r="136" spans="1:28">
      <c r="A136">
        <f t="shared" si="18"/>
        <v>13</v>
      </c>
      <c r="B136">
        <f t="shared" si="19"/>
        <v>10</v>
      </c>
      <c r="C136">
        <f t="shared" si="16"/>
        <v>130</v>
      </c>
      <c r="D136">
        <v>4.5</v>
      </c>
      <c r="E136">
        <f t="shared" si="17"/>
        <v>1290</v>
      </c>
      <c r="AB136">
        <v>726</v>
      </c>
    </row>
    <row r="137" spans="1:28">
      <c r="A137">
        <f t="shared" si="18"/>
        <v>14</v>
      </c>
      <c r="B137">
        <f t="shared" si="19"/>
        <v>1</v>
      </c>
      <c r="C137">
        <f t="shared" ref="C137:C200" si="20">C136+1</f>
        <v>131</v>
      </c>
      <c r="D137">
        <v>218</v>
      </c>
      <c r="E137">
        <f t="shared" ref="E137:E200" si="21">E136+10</f>
        <v>1300</v>
      </c>
      <c r="AB137">
        <v>184</v>
      </c>
    </row>
    <row r="138" spans="1:28">
      <c r="A138">
        <f t="shared" si="18"/>
        <v>14</v>
      </c>
      <c r="B138">
        <f t="shared" si="19"/>
        <v>2</v>
      </c>
      <c r="C138">
        <f t="shared" si="20"/>
        <v>132</v>
      </c>
      <c r="D138">
        <v>10</v>
      </c>
      <c r="E138">
        <f t="shared" si="21"/>
        <v>1310</v>
      </c>
      <c r="AB138">
        <v>214</v>
      </c>
    </row>
    <row r="139" spans="1:28">
      <c r="A139">
        <f t="shared" si="18"/>
        <v>14</v>
      </c>
      <c r="B139">
        <f t="shared" si="19"/>
        <v>3</v>
      </c>
      <c r="C139">
        <f t="shared" si="20"/>
        <v>133</v>
      </c>
      <c r="D139" s="1">
        <v>10383</v>
      </c>
      <c r="E139">
        <f t="shared" si="21"/>
        <v>1320</v>
      </c>
      <c r="AB139" t="s">
        <v>92</v>
      </c>
    </row>
    <row r="140" spans="1:28">
      <c r="A140">
        <f t="shared" si="18"/>
        <v>14</v>
      </c>
      <c r="B140">
        <f t="shared" si="19"/>
        <v>4</v>
      </c>
      <c r="C140">
        <f t="shared" si="20"/>
        <v>134</v>
      </c>
      <c r="D140" s="1">
        <v>5460</v>
      </c>
      <c r="E140">
        <f t="shared" si="21"/>
        <v>1330</v>
      </c>
      <c r="AB140">
        <v>10</v>
      </c>
    </row>
    <row r="141" spans="1:28">
      <c r="A141">
        <f t="shared" si="18"/>
        <v>14</v>
      </c>
      <c r="B141">
        <f t="shared" si="19"/>
        <v>5</v>
      </c>
      <c r="C141">
        <f t="shared" si="20"/>
        <v>135</v>
      </c>
      <c r="D141">
        <v>519</v>
      </c>
      <c r="E141">
        <f t="shared" si="21"/>
        <v>1340</v>
      </c>
      <c r="AB141">
        <v>1.6</v>
      </c>
    </row>
    <row r="142" spans="1:28">
      <c r="A142">
        <f t="shared" si="18"/>
        <v>14</v>
      </c>
      <c r="B142">
        <f t="shared" si="19"/>
        <v>6</v>
      </c>
      <c r="C142">
        <f t="shared" si="20"/>
        <v>136</v>
      </c>
      <c r="D142">
        <v>8.1999999999999993</v>
      </c>
      <c r="E142">
        <f t="shared" si="21"/>
        <v>1350</v>
      </c>
      <c r="AB142">
        <v>2827</v>
      </c>
    </row>
    <row r="143" spans="1:28">
      <c r="A143">
        <f t="shared" si="18"/>
        <v>14</v>
      </c>
      <c r="B143">
        <f t="shared" si="19"/>
        <v>7</v>
      </c>
      <c r="C143">
        <f t="shared" si="20"/>
        <v>137</v>
      </c>
      <c r="D143" s="1">
        <v>1038</v>
      </c>
      <c r="E143">
        <f t="shared" si="21"/>
        <v>1360</v>
      </c>
      <c r="AB143">
        <v>2627</v>
      </c>
    </row>
    <row r="144" spans="1:28">
      <c r="A144">
        <f t="shared" si="18"/>
        <v>14</v>
      </c>
      <c r="B144">
        <f t="shared" si="19"/>
        <v>8</v>
      </c>
      <c r="C144">
        <f t="shared" si="20"/>
        <v>138</v>
      </c>
      <c r="D144">
        <v>4.0999999999999996</v>
      </c>
      <c r="E144">
        <f t="shared" si="21"/>
        <v>1370</v>
      </c>
      <c r="AB144">
        <v>0.93</v>
      </c>
    </row>
    <row r="145" spans="1:28">
      <c r="A145">
        <f t="shared" si="18"/>
        <v>14</v>
      </c>
      <c r="B145">
        <f t="shared" si="19"/>
        <v>9</v>
      </c>
      <c r="C145">
        <f t="shared" si="20"/>
        <v>139</v>
      </c>
      <c r="D145" s="1">
        <v>1557</v>
      </c>
      <c r="E145">
        <f t="shared" si="21"/>
        <v>1380</v>
      </c>
      <c r="AB145">
        <v>592</v>
      </c>
    </row>
    <row r="146" spans="1:28">
      <c r="A146">
        <f t="shared" ref="A146:A209" si="22">A136+1</f>
        <v>14</v>
      </c>
      <c r="B146">
        <f t="shared" ref="B146:B209" si="23">B136</f>
        <v>10</v>
      </c>
      <c r="C146">
        <f t="shared" si="20"/>
        <v>140</v>
      </c>
      <c r="D146">
        <v>2.7</v>
      </c>
      <c r="E146">
        <f t="shared" si="21"/>
        <v>1390</v>
      </c>
      <c r="AB146">
        <v>5079</v>
      </c>
    </row>
    <row r="147" spans="1:28">
      <c r="A147">
        <f t="shared" si="22"/>
        <v>15</v>
      </c>
      <c r="B147">
        <f t="shared" si="23"/>
        <v>1</v>
      </c>
      <c r="C147">
        <f t="shared" si="20"/>
        <v>141</v>
      </c>
      <c r="D147">
        <v>219</v>
      </c>
      <c r="E147">
        <f t="shared" si="21"/>
        <v>1400</v>
      </c>
      <c r="AB147">
        <v>1.8</v>
      </c>
    </row>
    <row r="148" spans="1:28">
      <c r="A148">
        <f t="shared" si="22"/>
        <v>15</v>
      </c>
      <c r="B148">
        <f t="shared" si="23"/>
        <v>2</v>
      </c>
      <c r="C148">
        <f t="shared" si="20"/>
        <v>142</v>
      </c>
      <c r="D148">
        <v>15</v>
      </c>
      <c r="E148">
        <f t="shared" si="21"/>
        <v>1410</v>
      </c>
      <c r="AB148">
        <v>1145</v>
      </c>
    </row>
    <row r="149" spans="1:28">
      <c r="A149">
        <f t="shared" si="22"/>
        <v>15</v>
      </c>
      <c r="B149">
        <f t="shared" si="23"/>
        <v>3</v>
      </c>
      <c r="C149">
        <f t="shared" si="20"/>
        <v>143</v>
      </c>
      <c r="D149" s="1">
        <v>2369</v>
      </c>
      <c r="E149">
        <f t="shared" si="21"/>
        <v>1420</v>
      </c>
      <c r="AB149">
        <v>180</v>
      </c>
    </row>
    <row r="150" spans="1:28">
      <c r="A150">
        <f t="shared" si="22"/>
        <v>15</v>
      </c>
      <c r="B150">
        <f t="shared" si="23"/>
        <v>4</v>
      </c>
      <c r="C150">
        <f t="shared" si="20"/>
        <v>144</v>
      </c>
      <c r="D150" s="1">
        <v>4992</v>
      </c>
      <c r="E150">
        <f t="shared" si="21"/>
        <v>1430</v>
      </c>
      <c r="AB150">
        <v>215</v>
      </c>
    </row>
    <row r="151" spans="1:28">
      <c r="A151">
        <f t="shared" si="22"/>
        <v>15</v>
      </c>
      <c r="B151">
        <f t="shared" si="23"/>
        <v>5</v>
      </c>
      <c r="C151">
        <f t="shared" si="20"/>
        <v>145</v>
      </c>
      <c r="D151">
        <v>118</v>
      </c>
      <c r="E151">
        <f t="shared" si="21"/>
        <v>1440</v>
      </c>
      <c r="AB151" t="s">
        <v>92</v>
      </c>
    </row>
    <row r="152" spans="1:28">
      <c r="A152">
        <f t="shared" si="22"/>
        <v>15</v>
      </c>
      <c r="B152">
        <f t="shared" si="23"/>
        <v>6</v>
      </c>
      <c r="C152">
        <f t="shared" si="20"/>
        <v>146</v>
      </c>
      <c r="D152">
        <v>28.3</v>
      </c>
      <c r="E152">
        <f t="shared" si="21"/>
        <v>1450</v>
      </c>
      <c r="AB152">
        <v>10</v>
      </c>
    </row>
    <row r="153" spans="1:28">
      <c r="A153">
        <f t="shared" si="22"/>
        <v>15</v>
      </c>
      <c r="B153">
        <f t="shared" si="23"/>
        <v>7</v>
      </c>
      <c r="C153">
        <f t="shared" si="20"/>
        <v>147</v>
      </c>
      <c r="D153">
        <v>237</v>
      </c>
      <c r="E153">
        <f t="shared" si="21"/>
        <v>1460</v>
      </c>
      <c r="AB153">
        <v>2.5</v>
      </c>
    </row>
    <row r="154" spans="1:28">
      <c r="A154">
        <f t="shared" si="22"/>
        <v>15</v>
      </c>
      <c r="B154">
        <f t="shared" si="23"/>
        <v>8</v>
      </c>
      <c r="C154">
        <f t="shared" si="20"/>
        <v>148</v>
      </c>
      <c r="D154">
        <v>14.1</v>
      </c>
      <c r="E154">
        <f t="shared" si="21"/>
        <v>1470</v>
      </c>
      <c r="AB154">
        <v>3406</v>
      </c>
    </row>
    <row r="155" spans="1:28">
      <c r="A155">
        <f t="shared" si="22"/>
        <v>15</v>
      </c>
      <c r="B155">
        <f t="shared" si="23"/>
        <v>9</v>
      </c>
      <c r="C155">
        <f t="shared" si="20"/>
        <v>149</v>
      </c>
      <c r="D155">
        <v>355</v>
      </c>
      <c r="E155">
        <f t="shared" si="21"/>
        <v>1480</v>
      </c>
      <c r="AB155">
        <v>5578</v>
      </c>
    </row>
    <row r="156" spans="1:28">
      <c r="A156">
        <f t="shared" si="22"/>
        <v>15</v>
      </c>
      <c r="B156">
        <f t="shared" si="23"/>
        <v>10</v>
      </c>
      <c r="C156">
        <f t="shared" si="20"/>
        <v>150</v>
      </c>
      <c r="D156">
        <v>9.4</v>
      </c>
      <c r="E156">
        <f t="shared" si="21"/>
        <v>1490</v>
      </c>
      <c r="AB156">
        <v>1.64</v>
      </c>
    </row>
    <row r="157" spans="1:28">
      <c r="A157">
        <f t="shared" si="22"/>
        <v>16</v>
      </c>
      <c r="B157">
        <f t="shared" si="23"/>
        <v>1</v>
      </c>
      <c r="C157">
        <f t="shared" si="20"/>
        <v>151</v>
      </c>
      <c r="D157">
        <v>220</v>
      </c>
      <c r="E157">
        <f t="shared" si="21"/>
        <v>1500</v>
      </c>
      <c r="AB157">
        <v>665</v>
      </c>
    </row>
    <row r="158" spans="1:28">
      <c r="A158">
        <f t="shared" si="22"/>
        <v>16</v>
      </c>
      <c r="B158">
        <f t="shared" si="23"/>
        <v>2</v>
      </c>
      <c r="C158">
        <f t="shared" si="20"/>
        <v>152</v>
      </c>
      <c r="D158">
        <v>15</v>
      </c>
      <c r="E158">
        <f t="shared" si="21"/>
        <v>1510</v>
      </c>
      <c r="AB158">
        <v>5526</v>
      </c>
    </row>
    <row r="159" spans="1:28">
      <c r="A159">
        <f t="shared" si="22"/>
        <v>16</v>
      </c>
      <c r="B159">
        <f t="shared" si="23"/>
        <v>3</v>
      </c>
      <c r="C159">
        <f t="shared" si="20"/>
        <v>153</v>
      </c>
      <c r="D159" s="1">
        <v>7121</v>
      </c>
      <c r="E159">
        <f t="shared" si="21"/>
        <v>1520</v>
      </c>
      <c r="AB159">
        <v>1.62</v>
      </c>
    </row>
    <row r="160" spans="1:28">
      <c r="A160">
        <f t="shared" si="22"/>
        <v>16</v>
      </c>
      <c r="B160">
        <f t="shared" si="23"/>
        <v>4</v>
      </c>
      <c r="C160">
        <f t="shared" si="20"/>
        <v>154</v>
      </c>
      <c r="D160" s="1">
        <v>4992</v>
      </c>
      <c r="E160">
        <f t="shared" si="21"/>
        <v>1530</v>
      </c>
      <c r="AB160">
        <v>658</v>
      </c>
    </row>
    <row r="161" spans="1:28">
      <c r="A161">
        <f t="shared" si="22"/>
        <v>16</v>
      </c>
      <c r="B161">
        <f t="shared" si="23"/>
        <v>5</v>
      </c>
      <c r="C161">
        <f t="shared" si="20"/>
        <v>155</v>
      </c>
      <c r="D161">
        <v>356</v>
      </c>
      <c r="E161">
        <f t="shared" si="21"/>
        <v>1540</v>
      </c>
      <c r="AB161">
        <v>162</v>
      </c>
    </row>
    <row r="162" spans="1:28">
      <c r="A162">
        <f t="shared" si="22"/>
        <v>16</v>
      </c>
      <c r="B162">
        <f t="shared" si="23"/>
        <v>6</v>
      </c>
      <c r="C162">
        <f t="shared" si="20"/>
        <v>156</v>
      </c>
      <c r="D162">
        <v>9.4</v>
      </c>
      <c r="E162">
        <f t="shared" si="21"/>
        <v>1550</v>
      </c>
      <c r="AB162">
        <v>217</v>
      </c>
    </row>
    <row r="163" spans="1:28">
      <c r="A163">
        <f t="shared" si="22"/>
        <v>16</v>
      </c>
      <c r="B163">
        <f t="shared" si="23"/>
        <v>7</v>
      </c>
      <c r="C163">
        <f t="shared" si="20"/>
        <v>157</v>
      </c>
      <c r="D163">
        <v>712</v>
      </c>
      <c r="E163">
        <f t="shared" si="21"/>
        <v>1560</v>
      </c>
      <c r="AB163" t="s">
        <v>92</v>
      </c>
    </row>
    <row r="164" spans="1:28">
      <c r="A164">
        <f t="shared" si="22"/>
        <v>16</v>
      </c>
      <c r="B164">
        <f t="shared" si="23"/>
        <v>8</v>
      </c>
      <c r="C164">
        <f t="shared" si="20"/>
        <v>158</v>
      </c>
      <c r="D164">
        <v>4.7</v>
      </c>
      <c r="E164">
        <f t="shared" si="21"/>
        <v>1570</v>
      </c>
      <c r="AB164">
        <v>10</v>
      </c>
    </row>
    <row r="165" spans="1:28">
      <c r="A165">
        <f t="shared" si="22"/>
        <v>16</v>
      </c>
      <c r="B165">
        <f t="shared" si="23"/>
        <v>9</v>
      </c>
      <c r="C165">
        <f t="shared" si="20"/>
        <v>159</v>
      </c>
      <c r="D165" s="1">
        <v>1068</v>
      </c>
      <c r="E165">
        <f t="shared" si="21"/>
        <v>1580</v>
      </c>
      <c r="AB165">
        <v>2.6</v>
      </c>
    </row>
    <row r="166" spans="1:28">
      <c r="A166">
        <f t="shared" si="22"/>
        <v>16</v>
      </c>
      <c r="B166">
        <f t="shared" si="23"/>
        <v>10</v>
      </c>
      <c r="C166">
        <f t="shared" si="20"/>
        <v>160</v>
      </c>
      <c r="D166">
        <v>3.1</v>
      </c>
      <c r="E166">
        <f t="shared" si="21"/>
        <v>1590</v>
      </c>
      <c r="AB166">
        <v>3714</v>
      </c>
    </row>
    <row r="167" spans="1:28">
      <c r="A167">
        <f t="shared" si="22"/>
        <v>17</v>
      </c>
      <c r="B167">
        <f t="shared" si="23"/>
        <v>1</v>
      </c>
      <c r="C167">
        <f t="shared" si="20"/>
        <v>161</v>
      </c>
      <c r="D167">
        <v>221</v>
      </c>
      <c r="E167">
        <f t="shared" si="21"/>
        <v>1600</v>
      </c>
      <c r="AB167">
        <v>5835</v>
      </c>
    </row>
    <row r="168" spans="1:28">
      <c r="A168">
        <f t="shared" si="22"/>
        <v>17</v>
      </c>
      <c r="B168">
        <f t="shared" si="23"/>
        <v>2</v>
      </c>
      <c r="C168">
        <f t="shared" si="20"/>
        <v>162</v>
      </c>
      <c r="D168">
        <v>10</v>
      </c>
      <c r="E168">
        <f t="shared" si="21"/>
        <v>1610</v>
      </c>
      <c r="AB168">
        <v>1.57</v>
      </c>
    </row>
    <row r="169" spans="1:28">
      <c r="A169">
        <f t="shared" si="22"/>
        <v>17</v>
      </c>
      <c r="B169">
        <f t="shared" si="23"/>
        <v>3</v>
      </c>
      <c r="C169">
        <f t="shared" si="20"/>
        <v>163</v>
      </c>
      <c r="D169" s="1">
        <v>6531</v>
      </c>
      <c r="E169">
        <f t="shared" si="21"/>
        <v>1620</v>
      </c>
      <c r="AB169">
        <v>613</v>
      </c>
    </row>
    <row r="170" spans="1:28">
      <c r="A170">
        <f t="shared" si="22"/>
        <v>17</v>
      </c>
      <c r="B170">
        <f t="shared" si="23"/>
        <v>4</v>
      </c>
      <c r="C170">
        <f t="shared" si="20"/>
        <v>164</v>
      </c>
      <c r="D170" s="1">
        <v>4992</v>
      </c>
      <c r="E170">
        <f t="shared" si="21"/>
        <v>1630</v>
      </c>
      <c r="AB170">
        <v>5916</v>
      </c>
    </row>
    <row r="171" spans="1:28">
      <c r="A171">
        <f t="shared" si="22"/>
        <v>17</v>
      </c>
      <c r="B171">
        <f t="shared" si="23"/>
        <v>5</v>
      </c>
      <c r="C171">
        <f t="shared" si="20"/>
        <v>165</v>
      </c>
      <c r="D171">
        <v>327</v>
      </c>
      <c r="E171">
        <f t="shared" si="21"/>
        <v>1640</v>
      </c>
      <c r="AB171">
        <v>1.59</v>
      </c>
    </row>
    <row r="172" spans="1:28">
      <c r="A172">
        <f t="shared" si="22"/>
        <v>17</v>
      </c>
      <c r="B172">
        <f t="shared" si="23"/>
        <v>6</v>
      </c>
      <c r="C172">
        <f t="shared" si="20"/>
        <v>166</v>
      </c>
      <c r="D172">
        <v>10.3</v>
      </c>
      <c r="E172">
        <f t="shared" si="21"/>
        <v>1650</v>
      </c>
      <c r="AB172">
        <v>622</v>
      </c>
    </row>
    <row r="173" spans="1:28">
      <c r="A173">
        <f t="shared" si="22"/>
        <v>17</v>
      </c>
      <c r="B173">
        <f t="shared" si="23"/>
        <v>7</v>
      </c>
      <c r="C173">
        <f t="shared" si="20"/>
        <v>167</v>
      </c>
      <c r="D173">
        <v>653</v>
      </c>
      <c r="E173">
        <f t="shared" si="21"/>
        <v>1660</v>
      </c>
      <c r="AB173">
        <v>159</v>
      </c>
    </row>
    <row r="174" spans="1:28">
      <c r="A174">
        <f t="shared" si="22"/>
        <v>17</v>
      </c>
      <c r="B174">
        <f t="shared" si="23"/>
        <v>8</v>
      </c>
      <c r="C174">
        <f t="shared" si="20"/>
        <v>168</v>
      </c>
      <c r="D174">
        <v>5.0999999999999996</v>
      </c>
      <c r="E174">
        <f t="shared" si="21"/>
        <v>1670</v>
      </c>
      <c r="AB174">
        <v>218</v>
      </c>
    </row>
    <row r="175" spans="1:28">
      <c r="A175">
        <f t="shared" si="22"/>
        <v>17</v>
      </c>
      <c r="B175">
        <f t="shared" si="23"/>
        <v>9</v>
      </c>
      <c r="C175">
        <f t="shared" si="20"/>
        <v>169</v>
      </c>
      <c r="D175">
        <v>980</v>
      </c>
      <c r="E175">
        <f t="shared" si="21"/>
        <v>1680</v>
      </c>
      <c r="AB175" t="s">
        <v>92</v>
      </c>
    </row>
    <row r="176" spans="1:28">
      <c r="A176">
        <f t="shared" si="22"/>
        <v>17</v>
      </c>
      <c r="B176">
        <f t="shared" si="23"/>
        <v>10</v>
      </c>
      <c r="C176">
        <f t="shared" si="20"/>
        <v>170</v>
      </c>
      <c r="D176">
        <v>3.4</v>
      </c>
      <c r="E176">
        <f t="shared" si="21"/>
        <v>1690</v>
      </c>
      <c r="AB176">
        <v>10</v>
      </c>
    </row>
    <row r="177" spans="1:28">
      <c r="A177">
        <f t="shared" si="22"/>
        <v>18</v>
      </c>
      <c r="B177">
        <f t="shared" si="23"/>
        <v>1</v>
      </c>
      <c r="C177">
        <f t="shared" si="20"/>
        <v>171</v>
      </c>
      <c r="D177">
        <v>222</v>
      </c>
      <c r="E177">
        <f t="shared" si="21"/>
        <v>1700</v>
      </c>
      <c r="AB177">
        <v>2.9</v>
      </c>
    </row>
    <row r="178" spans="1:28">
      <c r="A178">
        <f t="shared" si="22"/>
        <v>18</v>
      </c>
      <c r="B178">
        <f t="shared" si="23"/>
        <v>2</v>
      </c>
      <c r="C178">
        <f t="shared" si="20"/>
        <v>172</v>
      </c>
      <c r="D178">
        <v>15</v>
      </c>
      <c r="E178">
        <f t="shared" si="21"/>
        <v>1710</v>
      </c>
      <c r="AB178">
        <v>3601</v>
      </c>
    </row>
    <row r="179" spans="1:28">
      <c r="A179">
        <f t="shared" si="22"/>
        <v>18</v>
      </c>
      <c r="B179">
        <f t="shared" si="23"/>
        <v>3</v>
      </c>
      <c r="C179">
        <f t="shared" si="20"/>
        <v>173</v>
      </c>
      <c r="D179" s="1">
        <v>6736</v>
      </c>
      <c r="E179">
        <f t="shared" si="21"/>
        <v>1720</v>
      </c>
      <c r="AB179">
        <v>5333</v>
      </c>
    </row>
    <row r="180" spans="1:28">
      <c r="A180">
        <f t="shared" si="22"/>
        <v>18</v>
      </c>
      <c r="B180">
        <f t="shared" si="23"/>
        <v>4</v>
      </c>
      <c r="C180">
        <f t="shared" si="20"/>
        <v>174</v>
      </c>
      <c r="D180" s="1">
        <v>4992</v>
      </c>
      <c r="E180">
        <f t="shared" si="21"/>
        <v>1730</v>
      </c>
      <c r="AB180">
        <v>1.48</v>
      </c>
    </row>
    <row r="181" spans="1:28">
      <c r="A181">
        <f t="shared" si="22"/>
        <v>18</v>
      </c>
      <c r="B181">
        <f t="shared" si="23"/>
        <v>5</v>
      </c>
      <c r="C181">
        <f t="shared" si="20"/>
        <v>175</v>
      </c>
      <c r="D181">
        <v>337</v>
      </c>
      <c r="E181">
        <f t="shared" si="21"/>
        <v>1740</v>
      </c>
      <c r="AB181">
        <v>508</v>
      </c>
    </row>
    <row r="182" spans="1:28">
      <c r="A182">
        <f t="shared" si="22"/>
        <v>18</v>
      </c>
      <c r="B182">
        <f t="shared" si="23"/>
        <v>6</v>
      </c>
      <c r="C182">
        <f t="shared" si="20"/>
        <v>176</v>
      </c>
      <c r="D182">
        <v>9.9</v>
      </c>
      <c r="E182">
        <f t="shared" si="21"/>
        <v>1750</v>
      </c>
      <c r="AB182">
        <v>6826</v>
      </c>
    </row>
    <row r="183" spans="1:28">
      <c r="A183">
        <f t="shared" si="22"/>
        <v>18</v>
      </c>
      <c r="B183">
        <f t="shared" si="23"/>
        <v>7</v>
      </c>
      <c r="C183">
        <f t="shared" si="20"/>
        <v>177</v>
      </c>
      <c r="D183">
        <v>674</v>
      </c>
      <c r="E183">
        <f t="shared" si="21"/>
        <v>1760</v>
      </c>
      <c r="AB183">
        <v>1.9</v>
      </c>
    </row>
    <row r="184" spans="1:28">
      <c r="A184">
        <f t="shared" si="22"/>
        <v>18</v>
      </c>
      <c r="B184">
        <f t="shared" si="23"/>
        <v>8</v>
      </c>
      <c r="C184">
        <f t="shared" si="20"/>
        <v>178</v>
      </c>
      <c r="D184">
        <v>5</v>
      </c>
      <c r="E184">
        <f t="shared" si="21"/>
        <v>1770</v>
      </c>
      <c r="AB184">
        <v>650</v>
      </c>
    </row>
    <row r="185" spans="1:28">
      <c r="A185">
        <f t="shared" si="22"/>
        <v>18</v>
      </c>
      <c r="B185">
        <f t="shared" si="23"/>
        <v>9</v>
      </c>
      <c r="C185">
        <f t="shared" si="20"/>
        <v>179</v>
      </c>
      <c r="D185" s="1">
        <v>1010</v>
      </c>
      <c r="E185">
        <f t="shared" si="21"/>
        <v>1780</v>
      </c>
      <c r="AB185">
        <v>190</v>
      </c>
    </row>
    <row r="186" spans="1:28">
      <c r="A186">
        <f t="shared" si="22"/>
        <v>18</v>
      </c>
      <c r="B186">
        <f t="shared" si="23"/>
        <v>10</v>
      </c>
      <c r="C186">
        <f t="shared" si="20"/>
        <v>180</v>
      </c>
      <c r="D186">
        <v>3.3</v>
      </c>
      <c r="E186">
        <f t="shared" si="21"/>
        <v>1790</v>
      </c>
    </row>
    <row r="187" spans="1:28">
      <c r="A187">
        <f t="shared" si="22"/>
        <v>19</v>
      </c>
      <c r="B187">
        <f t="shared" si="23"/>
        <v>1</v>
      </c>
      <c r="C187">
        <f t="shared" si="20"/>
        <v>181</v>
      </c>
      <c r="D187">
        <v>223</v>
      </c>
      <c r="E187">
        <f t="shared" si="21"/>
        <v>1800</v>
      </c>
    </row>
    <row r="188" spans="1:28">
      <c r="A188">
        <f t="shared" si="22"/>
        <v>19</v>
      </c>
      <c r="B188">
        <f t="shared" si="23"/>
        <v>2</v>
      </c>
      <c r="C188">
        <f t="shared" si="20"/>
        <v>182</v>
      </c>
      <c r="D188">
        <v>15</v>
      </c>
      <c r="E188">
        <f t="shared" si="21"/>
        <v>1810</v>
      </c>
    </row>
    <row r="189" spans="1:28">
      <c r="A189">
        <f t="shared" si="22"/>
        <v>19</v>
      </c>
      <c r="B189">
        <f t="shared" si="23"/>
        <v>3</v>
      </c>
      <c r="C189">
        <f t="shared" si="20"/>
        <v>183</v>
      </c>
      <c r="D189" s="1">
        <v>10219</v>
      </c>
      <c r="E189">
        <f t="shared" si="21"/>
        <v>1820</v>
      </c>
    </row>
    <row r="190" spans="1:28">
      <c r="A190">
        <f t="shared" si="22"/>
        <v>19</v>
      </c>
      <c r="B190">
        <f t="shared" si="23"/>
        <v>4</v>
      </c>
      <c r="C190">
        <f t="shared" si="20"/>
        <v>184</v>
      </c>
      <c r="D190" s="1">
        <v>4992</v>
      </c>
      <c r="E190">
        <f t="shared" si="21"/>
        <v>1830</v>
      </c>
    </row>
    <row r="191" spans="1:28">
      <c r="A191">
        <f t="shared" si="22"/>
        <v>19</v>
      </c>
      <c r="B191">
        <f t="shared" si="23"/>
        <v>5</v>
      </c>
      <c r="C191">
        <f t="shared" si="20"/>
        <v>185</v>
      </c>
      <c r="D191">
        <v>511</v>
      </c>
      <c r="E191">
        <f t="shared" si="21"/>
        <v>1840</v>
      </c>
    </row>
    <row r="192" spans="1:28">
      <c r="A192">
        <f t="shared" si="22"/>
        <v>19</v>
      </c>
      <c r="B192">
        <f t="shared" si="23"/>
        <v>6</v>
      </c>
      <c r="C192">
        <f t="shared" si="20"/>
        <v>186</v>
      </c>
      <c r="D192">
        <v>8.3000000000000007</v>
      </c>
      <c r="E192">
        <f t="shared" si="21"/>
        <v>1850</v>
      </c>
    </row>
    <row r="193" spans="1:5">
      <c r="A193">
        <f t="shared" si="22"/>
        <v>19</v>
      </c>
      <c r="B193">
        <f t="shared" si="23"/>
        <v>7</v>
      </c>
      <c r="C193">
        <f t="shared" si="20"/>
        <v>187</v>
      </c>
      <c r="D193" s="1">
        <v>1022</v>
      </c>
      <c r="E193">
        <f t="shared" si="21"/>
        <v>1860</v>
      </c>
    </row>
    <row r="194" spans="1:5">
      <c r="A194">
        <f t="shared" si="22"/>
        <v>19</v>
      </c>
      <c r="B194">
        <f t="shared" si="23"/>
        <v>8</v>
      </c>
      <c r="C194">
        <f t="shared" si="20"/>
        <v>188</v>
      </c>
      <c r="D194">
        <v>4.2</v>
      </c>
      <c r="E194">
        <f t="shared" si="21"/>
        <v>1870</v>
      </c>
    </row>
    <row r="195" spans="1:5">
      <c r="A195">
        <f t="shared" si="22"/>
        <v>19</v>
      </c>
      <c r="B195">
        <f t="shared" si="23"/>
        <v>9</v>
      </c>
      <c r="C195">
        <f t="shared" si="20"/>
        <v>189</v>
      </c>
      <c r="D195" s="1">
        <v>1533</v>
      </c>
      <c r="E195">
        <f t="shared" si="21"/>
        <v>1880</v>
      </c>
    </row>
    <row r="196" spans="1:5">
      <c r="A196">
        <f t="shared" si="22"/>
        <v>19</v>
      </c>
      <c r="B196">
        <f t="shared" si="23"/>
        <v>10</v>
      </c>
      <c r="C196">
        <f t="shared" si="20"/>
        <v>190</v>
      </c>
      <c r="D196">
        <v>2.8</v>
      </c>
      <c r="E196">
        <f t="shared" si="21"/>
        <v>1890</v>
      </c>
    </row>
    <row r="197" spans="1:5">
      <c r="A197">
        <f t="shared" si="22"/>
        <v>20</v>
      </c>
      <c r="B197">
        <f t="shared" si="23"/>
        <v>1</v>
      </c>
      <c r="C197">
        <f t="shared" si="20"/>
        <v>191</v>
      </c>
      <c r="D197">
        <v>224</v>
      </c>
      <c r="E197">
        <f t="shared" si="21"/>
        <v>1900</v>
      </c>
    </row>
    <row r="198" spans="1:5">
      <c r="A198">
        <f t="shared" si="22"/>
        <v>20</v>
      </c>
      <c r="B198">
        <f t="shared" si="23"/>
        <v>2</v>
      </c>
      <c r="C198">
        <f t="shared" si="20"/>
        <v>192</v>
      </c>
      <c r="D198">
        <v>10</v>
      </c>
      <c r="E198">
        <f t="shared" si="21"/>
        <v>1910</v>
      </c>
    </row>
    <row r="199" spans="1:5">
      <c r="A199">
        <f t="shared" si="22"/>
        <v>20</v>
      </c>
      <c r="B199">
        <f t="shared" si="23"/>
        <v>3</v>
      </c>
      <c r="C199">
        <f t="shared" si="20"/>
        <v>193</v>
      </c>
      <c r="D199" s="1">
        <v>8465</v>
      </c>
      <c r="E199">
        <f t="shared" si="21"/>
        <v>1920</v>
      </c>
    </row>
    <row r="200" spans="1:5">
      <c r="A200">
        <f t="shared" si="22"/>
        <v>20</v>
      </c>
      <c r="B200">
        <f t="shared" si="23"/>
        <v>4</v>
      </c>
      <c r="C200">
        <f t="shared" si="20"/>
        <v>194</v>
      </c>
      <c r="D200" s="1">
        <v>5200</v>
      </c>
      <c r="E200">
        <f t="shared" si="21"/>
        <v>1930</v>
      </c>
    </row>
    <row r="201" spans="1:5">
      <c r="A201">
        <f t="shared" si="22"/>
        <v>20</v>
      </c>
      <c r="B201">
        <f t="shared" si="23"/>
        <v>5</v>
      </c>
      <c r="C201">
        <f t="shared" ref="C201:C264" si="24">C200+1</f>
        <v>195</v>
      </c>
      <c r="D201">
        <v>423</v>
      </c>
      <c r="E201">
        <f t="shared" ref="E201:E255" si="25">E200+10</f>
        <v>1940</v>
      </c>
    </row>
    <row r="202" spans="1:5">
      <c r="A202">
        <f t="shared" si="22"/>
        <v>20</v>
      </c>
      <c r="B202">
        <f t="shared" si="23"/>
        <v>6</v>
      </c>
      <c r="C202">
        <f t="shared" si="24"/>
        <v>196</v>
      </c>
      <c r="D202">
        <v>7.9</v>
      </c>
      <c r="E202">
        <f t="shared" si="25"/>
        <v>1950</v>
      </c>
    </row>
    <row r="203" spans="1:5">
      <c r="A203">
        <f t="shared" si="22"/>
        <v>20</v>
      </c>
      <c r="B203">
        <f t="shared" si="23"/>
        <v>7</v>
      </c>
      <c r="C203">
        <f t="shared" si="24"/>
        <v>197</v>
      </c>
      <c r="D203">
        <v>847</v>
      </c>
      <c r="E203">
        <f t="shared" si="25"/>
        <v>1960</v>
      </c>
    </row>
    <row r="204" spans="1:5">
      <c r="A204">
        <f t="shared" si="22"/>
        <v>20</v>
      </c>
      <c r="B204">
        <f t="shared" si="23"/>
        <v>8</v>
      </c>
      <c r="C204">
        <f t="shared" si="24"/>
        <v>198</v>
      </c>
      <c r="D204">
        <v>4</v>
      </c>
      <c r="E204">
        <f t="shared" si="25"/>
        <v>1970</v>
      </c>
    </row>
    <row r="205" spans="1:5">
      <c r="A205">
        <f t="shared" si="22"/>
        <v>20</v>
      </c>
      <c r="B205">
        <f t="shared" si="23"/>
        <v>9</v>
      </c>
      <c r="C205">
        <f t="shared" si="24"/>
        <v>199</v>
      </c>
      <c r="D205" s="1">
        <v>1270</v>
      </c>
      <c r="E205">
        <f t="shared" si="25"/>
        <v>1980</v>
      </c>
    </row>
    <row r="206" spans="1:5">
      <c r="A206">
        <f t="shared" si="22"/>
        <v>20</v>
      </c>
      <c r="B206">
        <f t="shared" si="23"/>
        <v>10</v>
      </c>
      <c r="C206">
        <f t="shared" si="24"/>
        <v>200</v>
      </c>
      <c r="D206">
        <v>2.6</v>
      </c>
      <c r="E206">
        <f t="shared" si="25"/>
        <v>1990</v>
      </c>
    </row>
    <row r="207" spans="1:5">
      <c r="A207">
        <f t="shared" si="22"/>
        <v>21</v>
      </c>
      <c r="B207">
        <f t="shared" si="23"/>
        <v>1</v>
      </c>
      <c r="C207">
        <f t="shared" si="24"/>
        <v>201</v>
      </c>
      <c r="D207">
        <v>225</v>
      </c>
      <c r="E207">
        <f t="shared" si="25"/>
        <v>2000</v>
      </c>
    </row>
    <row r="208" spans="1:5">
      <c r="A208">
        <f t="shared" si="22"/>
        <v>21</v>
      </c>
      <c r="B208">
        <f t="shared" si="23"/>
        <v>2</v>
      </c>
      <c r="C208">
        <f t="shared" si="24"/>
        <v>202</v>
      </c>
      <c r="D208">
        <v>10</v>
      </c>
      <c r="E208">
        <f t="shared" si="25"/>
        <v>2010</v>
      </c>
    </row>
    <row r="209" spans="1:5">
      <c r="A209">
        <f t="shared" si="22"/>
        <v>21</v>
      </c>
      <c r="B209">
        <f t="shared" si="23"/>
        <v>3</v>
      </c>
      <c r="C209">
        <f t="shared" si="24"/>
        <v>203</v>
      </c>
      <c r="D209" s="1">
        <v>7107</v>
      </c>
      <c r="E209">
        <f t="shared" si="25"/>
        <v>2020</v>
      </c>
    </row>
    <row r="210" spans="1:5">
      <c r="A210">
        <f t="shared" ref="A210:A273" si="26">A200+1</f>
        <v>21</v>
      </c>
      <c r="B210">
        <f t="shared" ref="B210:B273" si="27">B200</f>
        <v>4</v>
      </c>
      <c r="C210">
        <f t="shared" si="24"/>
        <v>204</v>
      </c>
      <c r="D210" s="1">
        <v>5200</v>
      </c>
      <c r="E210">
        <f t="shared" si="25"/>
        <v>2030</v>
      </c>
    </row>
    <row r="211" spans="1:5">
      <c r="A211">
        <f t="shared" si="26"/>
        <v>21</v>
      </c>
      <c r="B211">
        <f t="shared" si="27"/>
        <v>5</v>
      </c>
      <c r="C211">
        <f t="shared" si="24"/>
        <v>205</v>
      </c>
      <c r="D211">
        <v>355</v>
      </c>
      <c r="E211">
        <f t="shared" si="25"/>
        <v>2040</v>
      </c>
    </row>
    <row r="212" spans="1:5">
      <c r="A212">
        <f t="shared" si="26"/>
        <v>21</v>
      </c>
      <c r="B212">
        <f t="shared" si="27"/>
        <v>6</v>
      </c>
      <c r="C212">
        <f t="shared" si="24"/>
        <v>206</v>
      </c>
      <c r="D212">
        <v>9.4</v>
      </c>
      <c r="E212">
        <f t="shared" si="25"/>
        <v>2050</v>
      </c>
    </row>
    <row r="213" spans="1:5">
      <c r="A213">
        <f t="shared" si="26"/>
        <v>21</v>
      </c>
      <c r="B213">
        <f t="shared" si="27"/>
        <v>7</v>
      </c>
      <c r="C213">
        <f t="shared" si="24"/>
        <v>207</v>
      </c>
      <c r="D213">
        <v>711</v>
      </c>
      <c r="E213">
        <f t="shared" si="25"/>
        <v>2060</v>
      </c>
    </row>
    <row r="214" spans="1:5">
      <c r="A214">
        <f t="shared" si="26"/>
        <v>21</v>
      </c>
      <c r="B214">
        <f t="shared" si="27"/>
        <v>8</v>
      </c>
      <c r="C214">
        <f t="shared" si="24"/>
        <v>208</v>
      </c>
      <c r="D214">
        <v>4.7</v>
      </c>
      <c r="E214">
        <f t="shared" si="25"/>
        <v>2070</v>
      </c>
    </row>
    <row r="215" spans="1:5">
      <c r="A215">
        <f t="shared" si="26"/>
        <v>21</v>
      </c>
      <c r="B215">
        <f t="shared" si="27"/>
        <v>9</v>
      </c>
      <c r="C215">
        <f t="shared" si="24"/>
        <v>209</v>
      </c>
      <c r="D215" s="1">
        <v>1066</v>
      </c>
      <c r="E215">
        <f t="shared" si="25"/>
        <v>2080</v>
      </c>
    </row>
    <row r="216" spans="1:5">
      <c r="A216">
        <f t="shared" si="26"/>
        <v>21</v>
      </c>
      <c r="B216">
        <f t="shared" si="27"/>
        <v>10</v>
      </c>
      <c r="C216">
        <f t="shared" si="24"/>
        <v>210</v>
      </c>
      <c r="D216">
        <v>3.1</v>
      </c>
      <c r="E216">
        <f t="shared" si="25"/>
        <v>2090</v>
      </c>
    </row>
    <row r="217" spans="1:5">
      <c r="A217">
        <f t="shared" si="26"/>
        <v>22</v>
      </c>
      <c r="B217">
        <f t="shared" si="27"/>
        <v>1</v>
      </c>
      <c r="C217">
        <f t="shared" si="24"/>
        <v>211</v>
      </c>
      <c r="D217">
        <v>226</v>
      </c>
      <c r="E217">
        <f t="shared" si="25"/>
        <v>2100</v>
      </c>
    </row>
    <row r="218" spans="1:5">
      <c r="A218">
        <f t="shared" si="26"/>
        <v>22</v>
      </c>
      <c r="B218">
        <f t="shared" si="27"/>
        <v>2</v>
      </c>
      <c r="C218">
        <f t="shared" si="24"/>
        <v>212</v>
      </c>
      <c r="D218">
        <v>12.5</v>
      </c>
      <c r="E218">
        <f t="shared" si="25"/>
        <v>2110</v>
      </c>
    </row>
    <row r="219" spans="1:5">
      <c r="A219">
        <f t="shared" si="26"/>
        <v>22</v>
      </c>
      <c r="B219">
        <f t="shared" si="27"/>
        <v>3</v>
      </c>
      <c r="C219">
        <f t="shared" si="24"/>
        <v>213</v>
      </c>
      <c r="D219" s="1">
        <v>13105</v>
      </c>
      <c r="E219">
        <f t="shared" si="25"/>
        <v>2120</v>
      </c>
    </row>
    <row r="220" spans="1:5">
      <c r="A220">
        <f t="shared" si="26"/>
        <v>22</v>
      </c>
      <c r="B220">
        <f t="shared" si="27"/>
        <v>4</v>
      </c>
      <c r="C220">
        <f t="shared" si="24"/>
        <v>214</v>
      </c>
      <c r="D220" s="1">
        <v>4992</v>
      </c>
      <c r="E220">
        <f t="shared" si="25"/>
        <v>2130</v>
      </c>
    </row>
    <row r="221" spans="1:5">
      <c r="A221">
        <f t="shared" si="26"/>
        <v>22</v>
      </c>
      <c r="B221">
        <f t="shared" si="27"/>
        <v>5</v>
      </c>
      <c r="C221">
        <f t="shared" si="24"/>
        <v>215</v>
      </c>
      <c r="D221">
        <v>655</v>
      </c>
      <c r="E221">
        <f t="shared" si="25"/>
        <v>2140</v>
      </c>
    </row>
    <row r="222" spans="1:5">
      <c r="A222">
        <f t="shared" si="26"/>
        <v>22</v>
      </c>
      <c r="B222">
        <f t="shared" si="27"/>
        <v>6</v>
      </c>
      <c r="C222">
        <f t="shared" si="24"/>
        <v>216</v>
      </c>
      <c r="D222">
        <v>6.5</v>
      </c>
      <c r="E222">
        <f t="shared" si="25"/>
        <v>2150</v>
      </c>
    </row>
    <row r="223" spans="1:5">
      <c r="A223">
        <f t="shared" si="26"/>
        <v>22</v>
      </c>
      <c r="B223">
        <f t="shared" si="27"/>
        <v>7</v>
      </c>
      <c r="C223">
        <f t="shared" si="24"/>
        <v>217</v>
      </c>
      <c r="D223" s="1">
        <v>1311</v>
      </c>
      <c r="E223">
        <f t="shared" si="25"/>
        <v>2160</v>
      </c>
    </row>
    <row r="224" spans="1:5">
      <c r="A224">
        <f t="shared" si="26"/>
        <v>22</v>
      </c>
      <c r="B224">
        <f t="shared" si="27"/>
        <v>8</v>
      </c>
      <c r="C224">
        <f t="shared" si="24"/>
        <v>218</v>
      </c>
      <c r="D224">
        <v>3.2</v>
      </c>
      <c r="E224">
        <f t="shared" si="25"/>
        <v>2170</v>
      </c>
    </row>
    <row r="225" spans="1:5">
      <c r="A225">
        <f t="shared" si="26"/>
        <v>22</v>
      </c>
      <c r="B225">
        <f t="shared" si="27"/>
        <v>9</v>
      </c>
      <c r="C225">
        <f t="shared" si="24"/>
        <v>219</v>
      </c>
      <c r="D225" s="1">
        <v>1966</v>
      </c>
      <c r="E225">
        <f t="shared" si="25"/>
        <v>2180</v>
      </c>
    </row>
    <row r="226" spans="1:5">
      <c r="A226">
        <f t="shared" si="26"/>
        <v>22</v>
      </c>
      <c r="B226">
        <f t="shared" si="27"/>
        <v>10</v>
      </c>
      <c r="C226">
        <f t="shared" si="24"/>
        <v>220</v>
      </c>
      <c r="D226">
        <v>2.2000000000000002</v>
      </c>
      <c r="E226">
        <f t="shared" si="25"/>
        <v>2190</v>
      </c>
    </row>
    <row r="227" spans="1:5">
      <c r="A227">
        <f t="shared" si="26"/>
        <v>23</v>
      </c>
      <c r="B227">
        <f t="shared" si="27"/>
        <v>1</v>
      </c>
      <c r="C227">
        <f t="shared" si="24"/>
        <v>221</v>
      </c>
      <c r="D227">
        <v>228</v>
      </c>
      <c r="E227">
        <f t="shared" si="25"/>
        <v>2200</v>
      </c>
    </row>
    <row r="228" spans="1:5">
      <c r="A228">
        <f t="shared" si="26"/>
        <v>23</v>
      </c>
      <c r="B228">
        <f t="shared" si="27"/>
        <v>2</v>
      </c>
      <c r="C228">
        <f t="shared" si="24"/>
        <v>222</v>
      </c>
      <c r="D228">
        <v>10</v>
      </c>
      <c r="E228">
        <f t="shared" si="25"/>
        <v>2210</v>
      </c>
    </row>
    <row r="229" spans="1:5">
      <c r="A229">
        <f t="shared" si="26"/>
        <v>23</v>
      </c>
      <c r="B229">
        <f t="shared" si="27"/>
        <v>3</v>
      </c>
      <c r="C229">
        <f t="shared" si="24"/>
        <v>223</v>
      </c>
      <c r="D229" s="1">
        <v>10340</v>
      </c>
      <c r="E229">
        <f t="shared" si="25"/>
        <v>2220</v>
      </c>
    </row>
    <row r="230" spans="1:5">
      <c r="A230">
        <f t="shared" si="26"/>
        <v>23</v>
      </c>
      <c r="B230">
        <f t="shared" si="27"/>
        <v>4</v>
      </c>
      <c r="C230">
        <f t="shared" si="24"/>
        <v>224</v>
      </c>
      <c r="D230" s="1">
        <v>5200</v>
      </c>
      <c r="E230">
        <f t="shared" si="25"/>
        <v>2230</v>
      </c>
    </row>
    <row r="231" spans="1:5">
      <c r="A231">
        <f t="shared" si="26"/>
        <v>23</v>
      </c>
      <c r="B231">
        <f t="shared" si="27"/>
        <v>5</v>
      </c>
      <c r="C231">
        <f t="shared" si="24"/>
        <v>225</v>
      </c>
      <c r="D231">
        <v>517</v>
      </c>
      <c r="E231">
        <f t="shared" si="25"/>
        <v>2240</v>
      </c>
    </row>
    <row r="232" spans="1:5">
      <c r="A232">
        <f t="shared" si="26"/>
        <v>23</v>
      </c>
      <c r="B232">
        <f t="shared" si="27"/>
        <v>6</v>
      </c>
      <c r="C232">
        <f t="shared" si="24"/>
        <v>226</v>
      </c>
      <c r="D232">
        <v>8.1999999999999993</v>
      </c>
      <c r="E232">
        <f t="shared" si="25"/>
        <v>2250</v>
      </c>
    </row>
    <row r="233" spans="1:5">
      <c r="A233">
        <f t="shared" si="26"/>
        <v>23</v>
      </c>
      <c r="B233">
        <f t="shared" si="27"/>
        <v>7</v>
      </c>
      <c r="C233">
        <f t="shared" si="24"/>
        <v>227</v>
      </c>
      <c r="D233" s="1">
        <v>1034</v>
      </c>
      <c r="E233">
        <f t="shared" si="25"/>
        <v>2260</v>
      </c>
    </row>
    <row r="234" spans="1:5">
      <c r="A234">
        <f t="shared" si="26"/>
        <v>23</v>
      </c>
      <c r="B234">
        <f t="shared" si="27"/>
        <v>8</v>
      </c>
      <c r="C234">
        <f t="shared" si="24"/>
        <v>228</v>
      </c>
      <c r="D234">
        <v>4.0999999999999996</v>
      </c>
      <c r="E234">
        <f t="shared" si="25"/>
        <v>2270</v>
      </c>
    </row>
    <row r="235" spans="1:5">
      <c r="A235">
        <f t="shared" si="26"/>
        <v>23</v>
      </c>
      <c r="B235">
        <f t="shared" si="27"/>
        <v>9</v>
      </c>
      <c r="C235">
        <f t="shared" si="24"/>
        <v>229</v>
      </c>
      <c r="D235" s="1">
        <v>1551</v>
      </c>
      <c r="E235">
        <f t="shared" si="25"/>
        <v>2280</v>
      </c>
    </row>
    <row r="236" spans="1:5">
      <c r="A236">
        <f t="shared" si="26"/>
        <v>23</v>
      </c>
      <c r="B236">
        <f t="shared" si="27"/>
        <v>10</v>
      </c>
      <c r="C236">
        <f t="shared" si="24"/>
        <v>230</v>
      </c>
      <c r="D236">
        <v>2.7</v>
      </c>
      <c r="E236">
        <f t="shared" si="25"/>
        <v>2290</v>
      </c>
    </row>
    <row r="237" spans="1:5">
      <c r="A237">
        <f t="shared" si="26"/>
        <v>24</v>
      </c>
      <c r="B237">
        <f t="shared" si="27"/>
        <v>1</v>
      </c>
      <c r="C237">
        <f t="shared" si="24"/>
        <v>231</v>
      </c>
      <c r="D237">
        <v>229</v>
      </c>
      <c r="E237">
        <f t="shared" si="25"/>
        <v>2300</v>
      </c>
    </row>
    <row r="238" spans="1:5">
      <c r="A238">
        <f t="shared" si="26"/>
        <v>24</v>
      </c>
      <c r="B238">
        <f t="shared" si="27"/>
        <v>2</v>
      </c>
      <c r="C238">
        <f t="shared" si="24"/>
        <v>232</v>
      </c>
      <c r="D238">
        <v>10</v>
      </c>
      <c r="E238">
        <f t="shared" si="25"/>
        <v>2310</v>
      </c>
    </row>
    <row r="239" spans="1:5">
      <c r="A239">
        <f t="shared" si="26"/>
        <v>24</v>
      </c>
      <c r="B239">
        <f t="shared" si="27"/>
        <v>3</v>
      </c>
      <c r="C239">
        <f t="shared" si="24"/>
        <v>233</v>
      </c>
      <c r="D239" s="1">
        <v>15232</v>
      </c>
      <c r="E239">
        <f t="shared" si="25"/>
        <v>2320</v>
      </c>
    </row>
    <row r="240" spans="1:5">
      <c r="A240">
        <f t="shared" si="26"/>
        <v>24</v>
      </c>
      <c r="B240">
        <f t="shared" si="27"/>
        <v>4</v>
      </c>
      <c r="C240">
        <f t="shared" si="24"/>
        <v>234</v>
      </c>
      <c r="D240" s="1">
        <v>4888</v>
      </c>
      <c r="E240">
        <f t="shared" si="25"/>
        <v>2330</v>
      </c>
    </row>
    <row r="241" spans="1:5">
      <c r="A241">
        <f t="shared" si="26"/>
        <v>24</v>
      </c>
      <c r="B241">
        <f t="shared" si="27"/>
        <v>5</v>
      </c>
      <c r="C241">
        <f t="shared" si="24"/>
        <v>235</v>
      </c>
      <c r="D241">
        <v>762</v>
      </c>
      <c r="E241">
        <f t="shared" si="25"/>
        <v>2340</v>
      </c>
    </row>
    <row r="242" spans="1:5">
      <c r="A242">
        <f t="shared" si="26"/>
        <v>24</v>
      </c>
      <c r="B242">
        <f t="shared" si="27"/>
        <v>6</v>
      </c>
      <c r="C242">
        <f t="shared" si="24"/>
        <v>236</v>
      </c>
      <c r="D242">
        <v>6.2</v>
      </c>
      <c r="E242">
        <f t="shared" si="25"/>
        <v>2350</v>
      </c>
    </row>
    <row r="243" spans="1:5">
      <c r="A243">
        <f t="shared" si="26"/>
        <v>24</v>
      </c>
      <c r="B243">
        <f t="shared" si="27"/>
        <v>7</v>
      </c>
      <c r="C243">
        <f t="shared" si="24"/>
        <v>237</v>
      </c>
      <c r="D243" s="1">
        <v>1523</v>
      </c>
      <c r="E243">
        <f t="shared" si="25"/>
        <v>2360</v>
      </c>
    </row>
    <row r="244" spans="1:5">
      <c r="A244">
        <f t="shared" si="26"/>
        <v>24</v>
      </c>
      <c r="B244">
        <f t="shared" si="27"/>
        <v>8</v>
      </c>
      <c r="C244">
        <f t="shared" si="24"/>
        <v>238</v>
      </c>
      <c r="D244">
        <v>3.1</v>
      </c>
      <c r="E244">
        <f t="shared" si="25"/>
        <v>2370</v>
      </c>
    </row>
    <row r="245" spans="1:5">
      <c r="A245">
        <f t="shared" si="26"/>
        <v>24</v>
      </c>
      <c r="B245">
        <f t="shared" si="27"/>
        <v>9</v>
      </c>
      <c r="C245">
        <f t="shared" si="24"/>
        <v>239</v>
      </c>
      <c r="D245" s="1">
        <v>2285</v>
      </c>
      <c r="E245">
        <f t="shared" si="25"/>
        <v>2380</v>
      </c>
    </row>
    <row r="246" spans="1:5">
      <c r="A246">
        <f t="shared" si="26"/>
        <v>24</v>
      </c>
      <c r="B246">
        <f t="shared" si="27"/>
        <v>10</v>
      </c>
      <c r="C246">
        <f t="shared" si="24"/>
        <v>240</v>
      </c>
      <c r="D246">
        <v>2.1</v>
      </c>
      <c r="E246">
        <f t="shared" si="25"/>
        <v>2390</v>
      </c>
    </row>
    <row r="247" spans="1:5">
      <c r="A247">
        <f t="shared" si="26"/>
        <v>25</v>
      </c>
      <c r="B247">
        <f t="shared" si="27"/>
        <v>1</v>
      </c>
      <c r="C247">
        <f t="shared" si="24"/>
        <v>241</v>
      </c>
      <c r="D247">
        <v>231</v>
      </c>
      <c r="E247">
        <f t="shared" si="25"/>
        <v>2400</v>
      </c>
    </row>
    <row r="248" spans="1:5">
      <c r="A248">
        <f t="shared" si="26"/>
        <v>25</v>
      </c>
      <c r="B248">
        <f t="shared" si="27"/>
        <v>2</v>
      </c>
      <c r="C248">
        <f t="shared" si="24"/>
        <v>242</v>
      </c>
      <c r="D248">
        <v>7.5</v>
      </c>
      <c r="E248">
        <f t="shared" si="25"/>
        <v>2410</v>
      </c>
    </row>
    <row r="249" spans="1:5">
      <c r="A249">
        <f t="shared" si="26"/>
        <v>25</v>
      </c>
      <c r="B249">
        <f t="shared" si="27"/>
        <v>3</v>
      </c>
      <c r="C249">
        <f t="shared" si="24"/>
        <v>243</v>
      </c>
      <c r="D249" s="1">
        <v>6082</v>
      </c>
      <c r="E249">
        <f t="shared" si="25"/>
        <v>2420</v>
      </c>
    </row>
    <row r="250" spans="1:5">
      <c r="A250">
        <f t="shared" si="26"/>
        <v>25</v>
      </c>
      <c r="B250">
        <f t="shared" si="27"/>
        <v>4</v>
      </c>
      <c r="C250">
        <f t="shared" si="24"/>
        <v>244</v>
      </c>
      <c r="D250" s="1">
        <v>5460</v>
      </c>
      <c r="E250">
        <f t="shared" si="25"/>
        <v>2430</v>
      </c>
    </row>
    <row r="251" spans="1:5">
      <c r="A251">
        <f t="shared" si="26"/>
        <v>25</v>
      </c>
      <c r="B251">
        <f t="shared" si="27"/>
        <v>5</v>
      </c>
      <c r="C251">
        <f t="shared" si="24"/>
        <v>245</v>
      </c>
      <c r="D251">
        <v>304</v>
      </c>
      <c r="E251">
        <f t="shared" si="25"/>
        <v>2440</v>
      </c>
    </row>
    <row r="252" spans="1:5">
      <c r="A252">
        <f t="shared" si="26"/>
        <v>25</v>
      </c>
      <c r="B252">
        <f t="shared" si="27"/>
        <v>6</v>
      </c>
      <c r="C252">
        <f t="shared" si="24"/>
        <v>246</v>
      </c>
      <c r="D252">
        <v>14</v>
      </c>
      <c r="E252">
        <f t="shared" si="25"/>
        <v>2450</v>
      </c>
    </row>
    <row r="253" spans="1:5">
      <c r="A253">
        <f t="shared" si="26"/>
        <v>25</v>
      </c>
      <c r="B253">
        <f t="shared" si="27"/>
        <v>7</v>
      </c>
      <c r="C253">
        <f t="shared" si="24"/>
        <v>247</v>
      </c>
      <c r="D253">
        <v>608</v>
      </c>
      <c r="E253">
        <f t="shared" si="25"/>
        <v>2460</v>
      </c>
    </row>
    <row r="254" spans="1:5">
      <c r="A254">
        <f t="shared" si="26"/>
        <v>25</v>
      </c>
      <c r="B254">
        <f t="shared" si="27"/>
        <v>8</v>
      </c>
      <c r="C254">
        <f t="shared" si="24"/>
        <v>248</v>
      </c>
      <c r="D254">
        <v>7</v>
      </c>
      <c r="E254">
        <f t="shared" si="25"/>
        <v>2470</v>
      </c>
    </row>
    <row r="255" spans="1:5">
      <c r="A255">
        <f t="shared" si="26"/>
        <v>25</v>
      </c>
      <c r="B255">
        <f t="shared" si="27"/>
        <v>9</v>
      </c>
      <c r="C255">
        <f t="shared" si="24"/>
        <v>249</v>
      </c>
      <c r="D255">
        <v>912</v>
      </c>
      <c r="E255">
        <f t="shared" si="25"/>
        <v>2480</v>
      </c>
    </row>
    <row r="256" spans="1:5">
      <c r="A256">
        <f t="shared" si="26"/>
        <v>25</v>
      </c>
      <c r="B256">
        <f t="shared" si="27"/>
        <v>10</v>
      </c>
      <c r="C256">
        <f t="shared" si="24"/>
        <v>250</v>
      </c>
      <c r="D256">
        <v>4.7</v>
      </c>
    </row>
    <row r="257" spans="1:4">
      <c r="A257">
        <f t="shared" si="26"/>
        <v>26</v>
      </c>
      <c r="B257">
        <f t="shared" si="27"/>
        <v>1</v>
      </c>
      <c r="C257">
        <f t="shared" si="24"/>
        <v>251</v>
      </c>
      <c r="D257">
        <v>362</v>
      </c>
    </row>
    <row r="258" spans="1:4">
      <c r="A258">
        <f t="shared" si="26"/>
        <v>26</v>
      </c>
      <c r="B258">
        <f t="shared" si="27"/>
        <v>2</v>
      </c>
      <c r="C258">
        <f t="shared" si="24"/>
        <v>252</v>
      </c>
      <c r="D258">
        <v>18</v>
      </c>
    </row>
    <row r="259" spans="1:4">
      <c r="A259">
        <f t="shared" si="26"/>
        <v>26</v>
      </c>
      <c r="B259">
        <f t="shared" si="27"/>
        <v>3</v>
      </c>
      <c r="C259">
        <f t="shared" si="24"/>
        <v>253</v>
      </c>
      <c r="D259" s="1">
        <v>15457</v>
      </c>
    </row>
    <row r="260" spans="1:4">
      <c r="A260">
        <f t="shared" si="26"/>
        <v>26</v>
      </c>
      <c r="B260">
        <f t="shared" si="27"/>
        <v>4</v>
      </c>
      <c r="C260">
        <f t="shared" si="24"/>
        <v>254</v>
      </c>
      <c r="D260" s="1">
        <v>7904</v>
      </c>
    </row>
    <row r="261" spans="1:4">
      <c r="A261">
        <f t="shared" si="26"/>
        <v>26</v>
      </c>
      <c r="B261">
        <f t="shared" si="27"/>
        <v>5</v>
      </c>
      <c r="C261">
        <f t="shared" si="24"/>
        <v>255</v>
      </c>
      <c r="D261">
        <v>773</v>
      </c>
    </row>
    <row r="262" spans="1:4">
      <c r="A262">
        <f t="shared" si="26"/>
        <v>26</v>
      </c>
      <c r="B262">
        <f t="shared" si="27"/>
        <v>6</v>
      </c>
      <c r="C262">
        <f t="shared" si="24"/>
        <v>256</v>
      </c>
      <c r="D262">
        <v>5.5</v>
      </c>
    </row>
    <row r="263" spans="1:4">
      <c r="A263">
        <f t="shared" si="26"/>
        <v>26</v>
      </c>
      <c r="B263">
        <f t="shared" si="27"/>
        <v>7</v>
      </c>
      <c r="C263">
        <f t="shared" si="24"/>
        <v>257</v>
      </c>
      <c r="D263" s="1">
        <v>1546</v>
      </c>
    </row>
    <row r="264" spans="1:4">
      <c r="A264">
        <f t="shared" si="26"/>
        <v>26</v>
      </c>
      <c r="B264">
        <f t="shared" si="27"/>
        <v>8</v>
      </c>
      <c r="C264">
        <f t="shared" si="24"/>
        <v>258</v>
      </c>
      <c r="D264">
        <v>2.7</v>
      </c>
    </row>
    <row r="265" spans="1:4">
      <c r="A265">
        <f t="shared" si="26"/>
        <v>26</v>
      </c>
      <c r="B265">
        <f t="shared" si="27"/>
        <v>9</v>
      </c>
      <c r="C265">
        <f t="shared" ref="C265:C328" si="28">C264+1</f>
        <v>259</v>
      </c>
      <c r="D265" s="1">
        <v>2319</v>
      </c>
    </row>
    <row r="266" spans="1:4">
      <c r="A266">
        <f t="shared" si="26"/>
        <v>26</v>
      </c>
      <c r="B266">
        <f t="shared" si="27"/>
        <v>10</v>
      </c>
      <c r="C266">
        <f t="shared" si="28"/>
        <v>260</v>
      </c>
      <c r="D266">
        <v>1.8</v>
      </c>
    </row>
    <row r="267" spans="1:4">
      <c r="A267">
        <f t="shared" si="26"/>
        <v>27</v>
      </c>
      <c r="B267">
        <f t="shared" si="27"/>
        <v>1</v>
      </c>
      <c r="C267">
        <f t="shared" si="28"/>
        <v>261</v>
      </c>
      <c r="D267">
        <v>363</v>
      </c>
    </row>
    <row r="268" spans="1:4">
      <c r="A268">
        <f t="shared" si="26"/>
        <v>27</v>
      </c>
      <c r="B268">
        <f t="shared" si="27"/>
        <v>2</v>
      </c>
      <c r="C268">
        <f t="shared" si="28"/>
        <v>262</v>
      </c>
      <c r="D268">
        <v>20</v>
      </c>
    </row>
    <row r="269" spans="1:4">
      <c r="A269">
        <f t="shared" si="26"/>
        <v>27</v>
      </c>
      <c r="B269">
        <f t="shared" si="27"/>
        <v>3</v>
      </c>
      <c r="C269">
        <f t="shared" si="28"/>
        <v>263</v>
      </c>
      <c r="D269" s="1">
        <v>41229</v>
      </c>
    </row>
    <row r="270" spans="1:4">
      <c r="A270">
        <f t="shared" si="26"/>
        <v>27</v>
      </c>
      <c r="B270">
        <f t="shared" si="27"/>
        <v>4</v>
      </c>
      <c r="C270">
        <f t="shared" si="28"/>
        <v>264</v>
      </c>
      <c r="D270" s="1">
        <v>7904</v>
      </c>
    </row>
    <row r="271" spans="1:4">
      <c r="A271">
        <f t="shared" si="26"/>
        <v>27</v>
      </c>
      <c r="B271">
        <f t="shared" si="27"/>
        <v>5</v>
      </c>
      <c r="C271">
        <f t="shared" si="28"/>
        <v>265</v>
      </c>
      <c r="D271" s="1">
        <v>2061</v>
      </c>
    </row>
    <row r="272" spans="1:4">
      <c r="A272">
        <f t="shared" si="26"/>
        <v>27</v>
      </c>
      <c r="B272">
        <f t="shared" si="27"/>
        <v>6</v>
      </c>
      <c r="C272">
        <f t="shared" si="28"/>
        <v>266</v>
      </c>
      <c r="D272">
        <v>2.4</v>
      </c>
    </row>
    <row r="273" spans="1:4">
      <c r="A273">
        <f t="shared" si="26"/>
        <v>27</v>
      </c>
      <c r="B273">
        <f t="shared" si="27"/>
        <v>7</v>
      </c>
      <c r="C273">
        <f t="shared" si="28"/>
        <v>267</v>
      </c>
      <c r="D273" s="1">
        <v>4123</v>
      </c>
    </row>
    <row r="274" spans="1:4">
      <c r="A274">
        <f t="shared" ref="A274:A286" si="29">A264+1</f>
        <v>27</v>
      </c>
      <c r="B274">
        <f t="shared" ref="B274:B286" si="30">B264</f>
        <v>8</v>
      </c>
      <c r="C274">
        <f t="shared" si="28"/>
        <v>268</v>
      </c>
      <c r="D274">
        <v>1.2</v>
      </c>
    </row>
    <row r="275" spans="1:4">
      <c r="A275">
        <f t="shared" si="29"/>
        <v>27</v>
      </c>
      <c r="B275">
        <f t="shared" si="30"/>
        <v>9</v>
      </c>
      <c r="C275">
        <f t="shared" si="28"/>
        <v>269</v>
      </c>
      <c r="D275" s="1">
        <v>6184</v>
      </c>
    </row>
    <row r="276" spans="1:4">
      <c r="A276">
        <f t="shared" si="29"/>
        <v>27</v>
      </c>
      <c r="B276">
        <f t="shared" si="30"/>
        <v>10</v>
      </c>
      <c r="C276">
        <f t="shared" si="28"/>
        <v>270</v>
      </c>
      <c r="D276">
        <v>0.8</v>
      </c>
    </row>
    <row r="277" spans="1:4">
      <c r="A277">
        <f t="shared" si="29"/>
        <v>28</v>
      </c>
      <c r="B277">
        <f t="shared" si="30"/>
        <v>1</v>
      </c>
      <c r="C277">
        <f t="shared" si="28"/>
        <v>271</v>
      </c>
      <c r="D277">
        <v>364</v>
      </c>
    </row>
    <row r="278" spans="1:4">
      <c r="A278">
        <f t="shared" si="29"/>
        <v>28</v>
      </c>
      <c r="B278">
        <f t="shared" si="30"/>
        <v>2</v>
      </c>
      <c r="C278">
        <f t="shared" si="28"/>
        <v>272</v>
      </c>
      <c r="D278">
        <v>25</v>
      </c>
    </row>
    <row r="279" spans="1:4">
      <c r="A279">
        <f t="shared" si="29"/>
        <v>28</v>
      </c>
      <c r="B279">
        <f t="shared" si="30"/>
        <v>3</v>
      </c>
      <c r="C279">
        <f t="shared" si="28"/>
        <v>273</v>
      </c>
      <c r="D279" s="1">
        <v>25034</v>
      </c>
    </row>
    <row r="280" spans="1:4">
      <c r="A280">
        <f t="shared" si="29"/>
        <v>28</v>
      </c>
      <c r="B280">
        <f t="shared" si="30"/>
        <v>4</v>
      </c>
      <c r="C280">
        <f t="shared" si="28"/>
        <v>274</v>
      </c>
      <c r="D280" s="1">
        <v>5460</v>
      </c>
    </row>
    <row r="281" spans="1:4">
      <c r="A281">
        <f t="shared" si="29"/>
        <v>28</v>
      </c>
      <c r="B281">
        <f t="shared" si="30"/>
        <v>5</v>
      </c>
      <c r="C281">
        <f t="shared" si="28"/>
        <v>275</v>
      </c>
      <c r="D281" s="1">
        <v>1252</v>
      </c>
    </row>
    <row r="282" spans="1:4">
      <c r="A282">
        <f t="shared" si="29"/>
        <v>28</v>
      </c>
      <c r="B282">
        <f t="shared" si="30"/>
        <v>6</v>
      </c>
      <c r="C282">
        <f t="shared" si="28"/>
        <v>276</v>
      </c>
      <c r="D282">
        <v>3.9</v>
      </c>
    </row>
    <row r="283" spans="1:4">
      <c r="A283">
        <f t="shared" si="29"/>
        <v>28</v>
      </c>
      <c r="B283">
        <f t="shared" si="30"/>
        <v>7</v>
      </c>
      <c r="C283">
        <f t="shared" si="28"/>
        <v>277</v>
      </c>
      <c r="D283" s="1">
        <v>2503</v>
      </c>
    </row>
    <row r="284" spans="1:4">
      <c r="A284">
        <f t="shared" si="29"/>
        <v>28</v>
      </c>
      <c r="B284">
        <f t="shared" si="30"/>
        <v>8</v>
      </c>
      <c r="C284">
        <f t="shared" si="28"/>
        <v>278</v>
      </c>
      <c r="D284">
        <v>2</v>
      </c>
    </row>
    <row r="285" spans="1:4">
      <c r="A285">
        <f t="shared" si="29"/>
        <v>28</v>
      </c>
      <c r="B285">
        <f t="shared" si="30"/>
        <v>9</v>
      </c>
      <c r="C285">
        <f t="shared" si="28"/>
        <v>279</v>
      </c>
      <c r="D285" s="1">
        <v>3755</v>
      </c>
    </row>
    <row r="286" spans="1:4">
      <c r="A286">
        <f t="shared" si="29"/>
        <v>28</v>
      </c>
      <c r="B286">
        <f t="shared" si="30"/>
        <v>10</v>
      </c>
      <c r="C286">
        <f t="shared" si="28"/>
        <v>280</v>
      </c>
      <c r="D286">
        <v>1.3</v>
      </c>
    </row>
    <row r="287" spans="1:4">
      <c r="C287">
        <f t="shared" si="28"/>
        <v>281</v>
      </c>
      <c r="D287">
        <v>365</v>
      </c>
    </row>
    <row r="288" spans="1:4">
      <c r="C288">
        <f t="shared" si="28"/>
        <v>282</v>
      </c>
      <c r="D288">
        <v>25</v>
      </c>
    </row>
    <row r="289" spans="3:4">
      <c r="C289">
        <f t="shared" si="28"/>
        <v>283</v>
      </c>
      <c r="D289" s="1">
        <v>24357</v>
      </c>
    </row>
    <row r="290" spans="3:4">
      <c r="C290">
        <f t="shared" si="28"/>
        <v>284</v>
      </c>
      <c r="D290" s="1">
        <v>5460</v>
      </c>
    </row>
    <row r="291" spans="3:4">
      <c r="C291">
        <f t="shared" si="28"/>
        <v>285</v>
      </c>
      <c r="D291" s="1">
        <v>1218</v>
      </c>
    </row>
    <row r="292" spans="3:4">
      <c r="C292">
        <f t="shared" si="28"/>
        <v>286</v>
      </c>
      <c r="D292">
        <v>4</v>
      </c>
    </row>
    <row r="293" spans="3:4">
      <c r="C293">
        <f t="shared" si="28"/>
        <v>287</v>
      </c>
      <c r="D293" s="1">
        <v>2436</v>
      </c>
    </row>
    <row r="294" spans="3:4">
      <c r="C294">
        <f t="shared" si="28"/>
        <v>288</v>
      </c>
      <c r="D294">
        <v>2</v>
      </c>
    </row>
    <row r="295" spans="3:4">
      <c r="C295">
        <f t="shared" si="28"/>
        <v>289</v>
      </c>
      <c r="D295" s="1">
        <v>3653</v>
      </c>
    </row>
    <row r="296" spans="3:4">
      <c r="C296">
        <f t="shared" si="28"/>
        <v>290</v>
      </c>
      <c r="D296">
        <v>1.3</v>
      </c>
    </row>
    <row r="297" spans="3:4">
      <c r="C297">
        <f t="shared" si="28"/>
        <v>291</v>
      </c>
      <c r="D297">
        <v>366</v>
      </c>
    </row>
    <row r="298" spans="3:4">
      <c r="C298">
        <f t="shared" si="28"/>
        <v>292</v>
      </c>
      <c r="D298">
        <v>25</v>
      </c>
    </row>
    <row r="299" spans="3:4">
      <c r="C299">
        <f t="shared" si="28"/>
        <v>293</v>
      </c>
      <c r="D299" s="1">
        <v>29320</v>
      </c>
    </row>
    <row r="300" spans="3:4">
      <c r="C300">
        <f t="shared" si="28"/>
        <v>294</v>
      </c>
      <c r="D300" s="1">
        <v>8736</v>
      </c>
    </row>
    <row r="301" spans="3:4">
      <c r="C301">
        <f t="shared" si="28"/>
        <v>295</v>
      </c>
      <c r="D301" s="1">
        <v>1466</v>
      </c>
    </row>
    <row r="302" spans="3:4">
      <c r="C302">
        <f t="shared" si="28"/>
        <v>296</v>
      </c>
      <c r="D302">
        <v>3.3</v>
      </c>
    </row>
    <row r="303" spans="3:4">
      <c r="C303">
        <f t="shared" si="28"/>
        <v>297</v>
      </c>
      <c r="D303" s="1">
        <v>2932</v>
      </c>
    </row>
    <row r="304" spans="3:4">
      <c r="C304">
        <f t="shared" si="28"/>
        <v>298</v>
      </c>
      <c r="D304">
        <v>1.7</v>
      </c>
    </row>
    <row r="305" spans="3:4">
      <c r="C305">
        <f t="shared" si="28"/>
        <v>299</v>
      </c>
      <c r="D305" s="1">
        <v>4398</v>
      </c>
    </row>
    <row r="306" spans="3:4">
      <c r="C306">
        <f t="shared" si="28"/>
        <v>300</v>
      </c>
      <c r="D306">
        <v>1.1000000000000001</v>
      </c>
    </row>
    <row r="307" spans="3:4">
      <c r="C307">
        <f t="shared" si="28"/>
        <v>301</v>
      </c>
      <c r="D307">
        <v>367</v>
      </c>
    </row>
    <row r="308" spans="3:4">
      <c r="C308">
        <f t="shared" si="28"/>
        <v>302</v>
      </c>
      <c r="D308">
        <v>25</v>
      </c>
    </row>
    <row r="309" spans="3:4">
      <c r="C309">
        <f t="shared" si="28"/>
        <v>303</v>
      </c>
      <c r="D309" s="1">
        <v>27892</v>
      </c>
    </row>
    <row r="310" spans="3:4">
      <c r="C310">
        <f t="shared" si="28"/>
        <v>304</v>
      </c>
      <c r="D310" s="1">
        <v>8736</v>
      </c>
    </row>
    <row r="311" spans="3:4">
      <c r="C311">
        <f t="shared" si="28"/>
        <v>305</v>
      </c>
      <c r="D311" s="1">
        <v>1395</v>
      </c>
    </row>
    <row r="312" spans="3:4">
      <c r="C312">
        <f t="shared" si="28"/>
        <v>306</v>
      </c>
      <c r="D312">
        <v>3.5</v>
      </c>
    </row>
    <row r="313" spans="3:4">
      <c r="C313">
        <f t="shared" si="28"/>
        <v>307</v>
      </c>
      <c r="D313" s="1">
        <v>2789</v>
      </c>
    </row>
    <row r="314" spans="3:4">
      <c r="C314">
        <f t="shared" si="28"/>
        <v>308</v>
      </c>
      <c r="D314">
        <v>1.8</v>
      </c>
    </row>
    <row r="315" spans="3:4">
      <c r="C315">
        <f t="shared" si="28"/>
        <v>309</v>
      </c>
      <c r="D315" s="1">
        <v>4184</v>
      </c>
    </row>
    <row r="316" spans="3:4">
      <c r="C316">
        <f t="shared" si="28"/>
        <v>310</v>
      </c>
      <c r="D316">
        <v>1.2</v>
      </c>
    </row>
    <row r="317" spans="3:4">
      <c r="C317">
        <f t="shared" si="28"/>
        <v>311</v>
      </c>
      <c r="D317">
        <v>368</v>
      </c>
    </row>
    <row r="318" spans="3:4">
      <c r="C318">
        <f t="shared" si="28"/>
        <v>312</v>
      </c>
      <c r="D318">
        <v>25</v>
      </c>
    </row>
    <row r="319" spans="3:4">
      <c r="C319">
        <f t="shared" si="28"/>
        <v>313</v>
      </c>
      <c r="D319" s="1">
        <v>29069</v>
      </c>
    </row>
    <row r="320" spans="3:4">
      <c r="C320">
        <f t="shared" si="28"/>
        <v>314</v>
      </c>
      <c r="D320" s="1">
        <v>8736</v>
      </c>
    </row>
    <row r="321" spans="3:4">
      <c r="C321">
        <f t="shared" si="28"/>
        <v>315</v>
      </c>
      <c r="D321" s="1">
        <v>1453</v>
      </c>
    </row>
    <row r="322" spans="3:4">
      <c r="C322">
        <f t="shared" si="28"/>
        <v>316</v>
      </c>
      <c r="D322">
        <v>3.4</v>
      </c>
    </row>
    <row r="323" spans="3:4">
      <c r="C323">
        <f t="shared" si="28"/>
        <v>317</v>
      </c>
      <c r="D323" s="1">
        <v>2907</v>
      </c>
    </row>
    <row r="324" spans="3:4">
      <c r="C324">
        <f t="shared" si="28"/>
        <v>318</v>
      </c>
      <c r="D324">
        <v>1.7</v>
      </c>
    </row>
    <row r="325" spans="3:4">
      <c r="C325">
        <f t="shared" si="28"/>
        <v>319</v>
      </c>
      <c r="D325" s="1">
        <v>4360</v>
      </c>
    </row>
    <row r="326" spans="3:4">
      <c r="C326">
        <f t="shared" si="28"/>
        <v>320</v>
      </c>
      <c r="D326">
        <v>1.1000000000000001</v>
      </c>
    </row>
    <row r="327" spans="3:4">
      <c r="C327">
        <f t="shared" si="28"/>
        <v>321</v>
      </c>
      <c r="D327">
        <v>369</v>
      </c>
    </row>
    <row r="328" spans="3:4">
      <c r="C328">
        <f t="shared" si="28"/>
        <v>322</v>
      </c>
      <c r="D328">
        <v>25</v>
      </c>
    </row>
    <row r="329" spans="3:4">
      <c r="C329">
        <f t="shared" ref="C329:C392" si="31">C328+1</f>
        <v>323</v>
      </c>
      <c r="D329" s="1">
        <v>38168</v>
      </c>
    </row>
    <row r="330" spans="3:4">
      <c r="C330">
        <f t="shared" si="31"/>
        <v>324</v>
      </c>
      <c r="D330" s="1">
        <v>8736</v>
      </c>
    </row>
    <row r="331" spans="3:4">
      <c r="C331">
        <f t="shared" si="31"/>
        <v>325</v>
      </c>
      <c r="D331" s="1">
        <v>1908</v>
      </c>
    </row>
    <row r="332" spans="3:4">
      <c r="C332">
        <f t="shared" si="31"/>
        <v>326</v>
      </c>
      <c r="D332">
        <v>2.6</v>
      </c>
    </row>
    <row r="333" spans="3:4">
      <c r="C333">
        <f t="shared" si="31"/>
        <v>327</v>
      </c>
      <c r="D333" s="1">
        <v>3817</v>
      </c>
    </row>
    <row r="334" spans="3:4">
      <c r="C334">
        <f t="shared" si="31"/>
        <v>328</v>
      </c>
      <c r="D334">
        <v>1.3</v>
      </c>
    </row>
    <row r="335" spans="3:4">
      <c r="C335">
        <f t="shared" si="31"/>
        <v>329</v>
      </c>
      <c r="D335" s="1">
        <v>5725</v>
      </c>
    </row>
    <row r="336" spans="3:4">
      <c r="C336">
        <f t="shared" si="31"/>
        <v>330</v>
      </c>
      <c r="D336">
        <v>0.9</v>
      </c>
    </row>
    <row r="337" spans="3:4">
      <c r="C337">
        <f t="shared" si="31"/>
        <v>331</v>
      </c>
      <c r="D337">
        <v>370</v>
      </c>
    </row>
    <row r="338" spans="3:4">
      <c r="C338">
        <f t="shared" si="31"/>
        <v>332</v>
      </c>
      <c r="D338">
        <v>25</v>
      </c>
    </row>
    <row r="339" spans="3:4">
      <c r="C339">
        <f t="shared" si="31"/>
        <v>333</v>
      </c>
      <c r="D339" s="1">
        <v>38689</v>
      </c>
    </row>
    <row r="340" spans="3:4">
      <c r="C340">
        <f t="shared" si="31"/>
        <v>334</v>
      </c>
      <c r="D340" s="1">
        <v>8736</v>
      </c>
    </row>
    <row r="341" spans="3:4">
      <c r="C341">
        <f t="shared" si="31"/>
        <v>335</v>
      </c>
      <c r="D341" s="1">
        <v>1934</v>
      </c>
    </row>
    <row r="342" spans="3:4">
      <c r="C342">
        <f t="shared" si="31"/>
        <v>336</v>
      </c>
      <c r="D342">
        <v>2.5</v>
      </c>
    </row>
    <row r="343" spans="3:4">
      <c r="C343">
        <f t="shared" si="31"/>
        <v>337</v>
      </c>
      <c r="D343" s="1">
        <v>3869</v>
      </c>
    </row>
    <row r="344" spans="3:4">
      <c r="C344">
        <f t="shared" si="31"/>
        <v>338</v>
      </c>
      <c r="D344">
        <v>1.3</v>
      </c>
    </row>
    <row r="345" spans="3:4">
      <c r="C345">
        <f t="shared" si="31"/>
        <v>339</v>
      </c>
      <c r="D345" s="1">
        <v>5803</v>
      </c>
    </row>
    <row r="346" spans="3:4">
      <c r="C346">
        <f t="shared" si="31"/>
        <v>340</v>
      </c>
      <c r="D346">
        <v>0.8</v>
      </c>
    </row>
    <row r="347" spans="3:4">
      <c r="C347">
        <f t="shared" si="31"/>
        <v>341</v>
      </c>
      <c r="D347">
        <v>371</v>
      </c>
    </row>
    <row r="348" spans="3:4">
      <c r="C348">
        <f t="shared" si="31"/>
        <v>342</v>
      </c>
      <c r="D348">
        <v>25</v>
      </c>
    </row>
    <row r="349" spans="3:4">
      <c r="C349">
        <f t="shared" si="31"/>
        <v>343</v>
      </c>
      <c r="D349" s="1">
        <v>39081</v>
      </c>
    </row>
    <row r="350" spans="3:4">
      <c r="C350">
        <f t="shared" si="31"/>
        <v>344</v>
      </c>
      <c r="D350" s="1">
        <v>8736</v>
      </c>
    </row>
    <row r="351" spans="3:4">
      <c r="C351">
        <f t="shared" si="31"/>
        <v>345</v>
      </c>
      <c r="D351" s="1">
        <v>1954</v>
      </c>
    </row>
    <row r="352" spans="3:4">
      <c r="C352">
        <f t="shared" si="31"/>
        <v>346</v>
      </c>
      <c r="D352">
        <v>2.5</v>
      </c>
    </row>
    <row r="353" spans="3:4">
      <c r="C353">
        <f t="shared" si="31"/>
        <v>347</v>
      </c>
      <c r="D353" s="1">
        <v>3908</v>
      </c>
    </row>
    <row r="354" spans="3:4">
      <c r="C354">
        <f t="shared" si="31"/>
        <v>348</v>
      </c>
      <c r="D354">
        <v>1.3</v>
      </c>
    </row>
    <row r="355" spans="3:4">
      <c r="C355">
        <f t="shared" si="31"/>
        <v>349</v>
      </c>
      <c r="D355" s="1">
        <v>5862</v>
      </c>
    </row>
    <row r="356" spans="3:4">
      <c r="C356">
        <f t="shared" si="31"/>
        <v>350</v>
      </c>
      <c r="D356">
        <v>0.8</v>
      </c>
    </row>
    <row r="357" spans="3:4">
      <c r="C357">
        <f t="shared" si="31"/>
        <v>351</v>
      </c>
      <c r="D357">
        <v>372</v>
      </c>
    </row>
    <row r="358" spans="3:4">
      <c r="C358">
        <f t="shared" si="31"/>
        <v>352</v>
      </c>
      <c r="D358">
        <v>12.5</v>
      </c>
    </row>
    <row r="359" spans="3:4">
      <c r="C359">
        <f t="shared" si="31"/>
        <v>353</v>
      </c>
      <c r="D359" s="1">
        <v>9305</v>
      </c>
    </row>
    <row r="360" spans="3:4">
      <c r="C360">
        <f t="shared" si="31"/>
        <v>354</v>
      </c>
      <c r="D360" s="1">
        <v>4368</v>
      </c>
    </row>
    <row r="361" spans="3:4">
      <c r="C361">
        <f t="shared" si="31"/>
        <v>355</v>
      </c>
      <c r="D361">
        <v>465</v>
      </c>
    </row>
    <row r="362" spans="3:4">
      <c r="C362">
        <f t="shared" si="31"/>
        <v>356</v>
      </c>
      <c r="D362">
        <v>9.1</v>
      </c>
    </row>
    <row r="363" spans="3:4">
      <c r="C363">
        <f t="shared" si="31"/>
        <v>357</v>
      </c>
      <c r="D363">
        <v>930</v>
      </c>
    </row>
    <row r="364" spans="3:4">
      <c r="C364">
        <f t="shared" si="31"/>
        <v>358</v>
      </c>
      <c r="D364">
        <v>4.5999999999999996</v>
      </c>
    </row>
    <row r="365" spans="3:4">
      <c r="C365">
        <f t="shared" si="31"/>
        <v>359</v>
      </c>
      <c r="D365" s="1">
        <v>1396</v>
      </c>
    </row>
    <row r="366" spans="3:4">
      <c r="C366">
        <f t="shared" si="31"/>
        <v>360</v>
      </c>
      <c r="D366">
        <v>3</v>
      </c>
    </row>
    <row r="367" spans="3:4">
      <c r="C367">
        <f t="shared" si="31"/>
        <v>361</v>
      </c>
      <c r="D367">
        <v>375</v>
      </c>
    </row>
    <row r="368" spans="3:4">
      <c r="C368">
        <f t="shared" si="31"/>
        <v>362</v>
      </c>
      <c r="D368">
        <v>15</v>
      </c>
    </row>
    <row r="369" spans="3:4">
      <c r="C369">
        <f t="shared" si="31"/>
        <v>363</v>
      </c>
      <c r="D369" s="1">
        <v>12198</v>
      </c>
    </row>
    <row r="370" spans="3:4">
      <c r="C370">
        <f t="shared" si="31"/>
        <v>364</v>
      </c>
      <c r="D370" s="1">
        <v>4004</v>
      </c>
    </row>
    <row r="371" spans="3:4">
      <c r="C371">
        <f t="shared" si="31"/>
        <v>365</v>
      </c>
      <c r="D371">
        <v>610</v>
      </c>
    </row>
    <row r="372" spans="3:4">
      <c r="C372">
        <f t="shared" si="31"/>
        <v>366</v>
      </c>
      <c r="D372">
        <v>7</v>
      </c>
    </row>
    <row r="373" spans="3:4">
      <c r="C373">
        <f t="shared" si="31"/>
        <v>367</v>
      </c>
      <c r="D373" s="1">
        <v>1220</v>
      </c>
    </row>
    <row r="374" spans="3:4">
      <c r="C374">
        <f t="shared" si="31"/>
        <v>368</v>
      </c>
      <c r="D374">
        <v>3.5</v>
      </c>
    </row>
    <row r="375" spans="3:4">
      <c r="C375">
        <f t="shared" si="31"/>
        <v>369</v>
      </c>
      <c r="D375" s="1">
        <v>1830</v>
      </c>
    </row>
    <row r="376" spans="3:4">
      <c r="C376">
        <f t="shared" si="31"/>
        <v>370</v>
      </c>
      <c r="D376">
        <v>2.2999999999999998</v>
      </c>
    </row>
    <row r="377" spans="3:4">
      <c r="C377">
        <f t="shared" si="31"/>
        <v>371</v>
      </c>
      <c r="D377">
        <v>376</v>
      </c>
    </row>
    <row r="378" spans="3:4">
      <c r="C378">
        <f t="shared" si="31"/>
        <v>372</v>
      </c>
      <c r="D378">
        <v>15</v>
      </c>
    </row>
    <row r="379" spans="3:4">
      <c r="C379">
        <f t="shared" si="31"/>
        <v>373</v>
      </c>
      <c r="D379" s="1">
        <v>2905</v>
      </c>
    </row>
    <row r="380" spans="3:4">
      <c r="C380">
        <f t="shared" si="31"/>
        <v>374</v>
      </c>
      <c r="D380" s="1">
        <v>4004</v>
      </c>
    </row>
    <row r="381" spans="3:4">
      <c r="C381">
        <f t="shared" si="31"/>
        <v>375</v>
      </c>
      <c r="D381">
        <v>145</v>
      </c>
    </row>
    <row r="382" spans="3:4">
      <c r="C382">
        <f t="shared" si="31"/>
        <v>376</v>
      </c>
      <c r="D382">
        <v>23.1</v>
      </c>
    </row>
    <row r="383" spans="3:4">
      <c r="C383">
        <f t="shared" si="31"/>
        <v>377</v>
      </c>
      <c r="D383">
        <v>290</v>
      </c>
    </row>
    <row r="384" spans="3:4">
      <c r="C384">
        <f t="shared" si="31"/>
        <v>378</v>
      </c>
      <c r="D384">
        <v>11.5</v>
      </c>
    </row>
    <row r="385" spans="3:4">
      <c r="C385">
        <f t="shared" si="31"/>
        <v>379</v>
      </c>
      <c r="D385">
        <v>436</v>
      </c>
    </row>
    <row r="386" spans="3:4">
      <c r="C386">
        <f t="shared" si="31"/>
        <v>380</v>
      </c>
      <c r="D386">
        <v>7.7</v>
      </c>
    </row>
    <row r="387" spans="3:4">
      <c r="C387">
        <f t="shared" si="31"/>
        <v>381</v>
      </c>
      <c r="D387">
        <v>377</v>
      </c>
    </row>
    <row r="388" spans="3:4">
      <c r="C388">
        <f t="shared" si="31"/>
        <v>382</v>
      </c>
      <c r="D388">
        <v>7.5</v>
      </c>
    </row>
    <row r="389" spans="3:4">
      <c r="C389">
        <f t="shared" si="31"/>
        <v>383</v>
      </c>
      <c r="D389" s="1">
        <v>4677</v>
      </c>
    </row>
    <row r="390" spans="3:4">
      <c r="C390">
        <f t="shared" si="31"/>
        <v>384</v>
      </c>
      <c r="D390" s="1">
        <v>4004</v>
      </c>
    </row>
    <row r="391" spans="3:4">
      <c r="C391">
        <f t="shared" si="31"/>
        <v>385</v>
      </c>
      <c r="D391">
        <v>234</v>
      </c>
    </row>
    <row r="392" spans="3:4">
      <c r="C392">
        <f t="shared" si="31"/>
        <v>386</v>
      </c>
      <c r="D392">
        <v>14.3</v>
      </c>
    </row>
    <row r="393" spans="3:4">
      <c r="C393">
        <f t="shared" ref="C393:C456" si="32">C392+1</f>
        <v>387</v>
      </c>
      <c r="D393">
        <v>468</v>
      </c>
    </row>
    <row r="394" spans="3:4">
      <c r="C394">
        <f t="shared" si="32"/>
        <v>388</v>
      </c>
      <c r="D394">
        <v>7.2</v>
      </c>
    </row>
    <row r="395" spans="3:4">
      <c r="C395">
        <f t="shared" si="32"/>
        <v>389</v>
      </c>
      <c r="D395">
        <v>702</v>
      </c>
    </row>
    <row r="396" spans="3:4">
      <c r="C396">
        <f t="shared" si="32"/>
        <v>390</v>
      </c>
      <c r="D396">
        <v>4.8</v>
      </c>
    </row>
    <row r="397" spans="3:4">
      <c r="C397">
        <f t="shared" si="32"/>
        <v>391</v>
      </c>
      <c r="D397">
        <v>378</v>
      </c>
    </row>
    <row r="398" spans="3:4">
      <c r="C398">
        <f t="shared" si="32"/>
        <v>392</v>
      </c>
      <c r="D398">
        <v>10</v>
      </c>
    </row>
    <row r="399" spans="3:4">
      <c r="C399">
        <f t="shared" si="32"/>
        <v>393</v>
      </c>
      <c r="D399" s="1">
        <v>7649</v>
      </c>
    </row>
    <row r="400" spans="3:4">
      <c r="C400">
        <f t="shared" si="32"/>
        <v>394</v>
      </c>
      <c r="D400" s="1">
        <v>4004</v>
      </c>
    </row>
    <row r="401" spans="3:4">
      <c r="C401">
        <f t="shared" si="32"/>
        <v>395</v>
      </c>
      <c r="D401">
        <v>382</v>
      </c>
    </row>
    <row r="402" spans="3:4">
      <c r="C402">
        <f t="shared" si="32"/>
        <v>396</v>
      </c>
      <c r="D402">
        <v>11.1</v>
      </c>
    </row>
    <row r="403" spans="3:4">
      <c r="C403">
        <f t="shared" si="32"/>
        <v>397</v>
      </c>
      <c r="D403">
        <v>765</v>
      </c>
    </row>
    <row r="404" spans="3:4">
      <c r="C404">
        <f t="shared" si="32"/>
        <v>398</v>
      </c>
      <c r="D404">
        <v>5.6</v>
      </c>
    </row>
    <row r="405" spans="3:4">
      <c r="C405">
        <f t="shared" si="32"/>
        <v>399</v>
      </c>
      <c r="D405" s="1">
        <v>1147</v>
      </c>
    </row>
    <row r="406" spans="3:4">
      <c r="C406">
        <f t="shared" si="32"/>
        <v>400</v>
      </c>
      <c r="D406">
        <v>3.7</v>
      </c>
    </row>
    <row r="407" spans="3:4">
      <c r="C407">
        <f t="shared" si="32"/>
        <v>401</v>
      </c>
      <c r="D407">
        <v>379</v>
      </c>
    </row>
    <row r="408" spans="3:4">
      <c r="C408">
        <f t="shared" si="32"/>
        <v>402</v>
      </c>
      <c r="D408">
        <v>5</v>
      </c>
    </row>
    <row r="409" spans="3:4">
      <c r="C409">
        <f t="shared" si="32"/>
        <v>403</v>
      </c>
      <c r="D409" s="1">
        <v>2038</v>
      </c>
    </row>
    <row r="410" spans="3:4">
      <c r="C410">
        <f t="shared" si="32"/>
        <v>404</v>
      </c>
      <c r="D410" s="1">
        <v>4004</v>
      </c>
    </row>
    <row r="411" spans="3:4">
      <c r="C411">
        <f t="shared" si="32"/>
        <v>405</v>
      </c>
      <c r="D411">
        <v>102</v>
      </c>
    </row>
    <row r="412" spans="3:4">
      <c r="C412">
        <f t="shared" si="32"/>
        <v>406</v>
      </c>
      <c r="D412">
        <v>29</v>
      </c>
    </row>
    <row r="413" spans="3:4">
      <c r="C413">
        <f t="shared" si="32"/>
        <v>407</v>
      </c>
      <c r="D413">
        <v>204</v>
      </c>
    </row>
    <row r="414" spans="3:4">
      <c r="C414">
        <f t="shared" si="32"/>
        <v>408</v>
      </c>
      <c r="D414">
        <v>14.5</v>
      </c>
    </row>
    <row r="415" spans="3:4">
      <c r="C415">
        <f t="shared" si="32"/>
        <v>409</v>
      </c>
      <c r="D415">
        <v>306</v>
      </c>
    </row>
    <row r="416" spans="3:4">
      <c r="C416">
        <f t="shared" si="32"/>
        <v>410</v>
      </c>
      <c r="D416">
        <v>9.6999999999999993</v>
      </c>
    </row>
    <row r="417" spans="3:4">
      <c r="C417">
        <f t="shared" si="32"/>
        <v>411</v>
      </c>
      <c r="D417">
        <v>380</v>
      </c>
    </row>
    <row r="418" spans="3:4">
      <c r="C418">
        <f t="shared" si="32"/>
        <v>412</v>
      </c>
      <c r="D418">
        <v>7.5</v>
      </c>
    </row>
    <row r="419" spans="3:4">
      <c r="C419">
        <f t="shared" si="32"/>
        <v>413</v>
      </c>
      <c r="D419" s="1">
        <v>4430</v>
      </c>
    </row>
    <row r="420" spans="3:4">
      <c r="C420">
        <f t="shared" si="32"/>
        <v>414</v>
      </c>
      <c r="D420" s="1">
        <v>4004</v>
      </c>
    </row>
    <row r="421" spans="3:4">
      <c r="C421">
        <f t="shared" si="32"/>
        <v>415</v>
      </c>
      <c r="D421">
        <v>221</v>
      </c>
    </row>
    <row r="422" spans="3:4">
      <c r="C422">
        <f t="shared" si="32"/>
        <v>416</v>
      </c>
      <c r="D422">
        <v>15.1</v>
      </c>
    </row>
    <row r="423" spans="3:4">
      <c r="C423">
        <f t="shared" si="32"/>
        <v>417</v>
      </c>
      <c r="D423">
        <v>443</v>
      </c>
    </row>
    <row r="424" spans="3:4">
      <c r="C424">
        <f t="shared" si="32"/>
        <v>418</v>
      </c>
      <c r="D424">
        <v>7.6</v>
      </c>
    </row>
    <row r="425" spans="3:4">
      <c r="C425">
        <f t="shared" si="32"/>
        <v>419</v>
      </c>
      <c r="D425">
        <v>664</v>
      </c>
    </row>
    <row r="426" spans="3:4">
      <c r="C426">
        <f t="shared" si="32"/>
        <v>420</v>
      </c>
      <c r="D426">
        <v>5</v>
      </c>
    </row>
    <row r="427" spans="3:4">
      <c r="C427">
        <f t="shared" si="32"/>
        <v>421</v>
      </c>
      <c r="D427">
        <v>381</v>
      </c>
    </row>
    <row r="428" spans="3:4">
      <c r="C428">
        <f t="shared" si="32"/>
        <v>422</v>
      </c>
      <c r="D428">
        <v>15</v>
      </c>
    </row>
    <row r="429" spans="3:4">
      <c r="C429">
        <f t="shared" si="32"/>
        <v>423</v>
      </c>
      <c r="D429" s="1">
        <v>13940</v>
      </c>
    </row>
    <row r="430" spans="3:4">
      <c r="C430">
        <f t="shared" si="32"/>
        <v>424</v>
      </c>
      <c r="D430" s="1">
        <v>6916</v>
      </c>
    </row>
    <row r="431" spans="3:4">
      <c r="C431">
        <f t="shared" si="32"/>
        <v>425</v>
      </c>
      <c r="D431">
        <v>697</v>
      </c>
    </row>
    <row r="432" spans="3:4">
      <c r="C432">
        <f t="shared" si="32"/>
        <v>426</v>
      </c>
      <c r="D432">
        <v>6.1</v>
      </c>
    </row>
    <row r="433" spans="3:4">
      <c r="C433">
        <f t="shared" si="32"/>
        <v>427</v>
      </c>
      <c r="D433" s="1">
        <v>1394</v>
      </c>
    </row>
    <row r="434" spans="3:4">
      <c r="C434">
        <f t="shared" si="32"/>
        <v>428</v>
      </c>
      <c r="D434">
        <v>3</v>
      </c>
    </row>
    <row r="435" spans="3:4">
      <c r="C435">
        <f t="shared" si="32"/>
        <v>429</v>
      </c>
      <c r="D435" s="1">
        <v>2091</v>
      </c>
    </row>
    <row r="436" spans="3:4">
      <c r="C436">
        <f t="shared" si="32"/>
        <v>430</v>
      </c>
      <c r="D436">
        <v>2</v>
      </c>
    </row>
    <row r="437" spans="3:4">
      <c r="C437">
        <f t="shared" si="32"/>
        <v>431</v>
      </c>
      <c r="D437">
        <v>382</v>
      </c>
    </row>
    <row r="438" spans="3:4">
      <c r="C438">
        <f t="shared" si="32"/>
        <v>432</v>
      </c>
      <c r="D438">
        <v>15</v>
      </c>
    </row>
    <row r="439" spans="3:4">
      <c r="C439">
        <f t="shared" si="32"/>
        <v>433</v>
      </c>
      <c r="D439" s="1">
        <v>19616</v>
      </c>
    </row>
    <row r="440" spans="3:4">
      <c r="C440">
        <f t="shared" si="32"/>
        <v>434</v>
      </c>
      <c r="D440" s="1">
        <v>6916</v>
      </c>
    </row>
    <row r="441" spans="3:4">
      <c r="C441">
        <f t="shared" si="32"/>
        <v>435</v>
      </c>
      <c r="D441">
        <v>981</v>
      </c>
    </row>
    <row r="442" spans="3:4">
      <c r="C442">
        <f t="shared" si="32"/>
        <v>436</v>
      </c>
      <c r="D442">
        <v>4.3</v>
      </c>
    </row>
    <row r="443" spans="3:4">
      <c r="C443">
        <f t="shared" si="32"/>
        <v>437</v>
      </c>
      <c r="D443" s="1">
        <v>1962</v>
      </c>
    </row>
    <row r="444" spans="3:4">
      <c r="C444">
        <f t="shared" si="32"/>
        <v>438</v>
      </c>
      <c r="D444">
        <v>2.2000000000000002</v>
      </c>
    </row>
    <row r="445" spans="3:4">
      <c r="C445">
        <f t="shared" si="32"/>
        <v>439</v>
      </c>
      <c r="D445" s="1">
        <v>2942</v>
      </c>
    </row>
    <row r="446" spans="3:4">
      <c r="C446">
        <f t="shared" si="32"/>
        <v>440</v>
      </c>
      <c r="D446">
        <v>1.4</v>
      </c>
    </row>
    <row r="447" spans="3:4">
      <c r="C447">
        <f t="shared" si="32"/>
        <v>441</v>
      </c>
      <c r="D447">
        <v>383</v>
      </c>
    </row>
    <row r="448" spans="3:4">
      <c r="C448">
        <f t="shared" si="32"/>
        <v>442</v>
      </c>
      <c r="D448">
        <v>15</v>
      </c>
    </row>
    <row r="449" spans="3:4">
      <c r="C449">
        <f t="shared" si="32"/>
        <v>443</v>
      </c>
      <c r="D449" s="1">
        <v>12181</v>
      </c>
    </row>
    <row r="450" spans="3:4">
      <c r="C450">
        <f t="shared" si="32"/>
        <v>444</v>
      </c>
      <c r="D450" s="1">
        <v>6916</v>
      </c>
    </row>
    <row r="451" spans="3:4">
      <c r="C451">
        <f t="shared" si="32"/>
        <v>445</v>
      </c>
      <c r="D451">
        <v>609</v>
      </c>
    </row>
    <row r="452" spans="3:4">
      <c r="C452">
        <f t="shared" si="32"/>
        <v>446</v>
      </c>
      <c r="D452">
        <v>7</v>
      </c>
    </row>
    <row r="453" spans="3:4">
      <c r="C453">
        <f t="shared" si="32"/>
        <v>447</v>
      </c>
      <c r="D453" s="1">
        <v>1218</v>
      </c>
    </row>
    <row r="454" spans="3:4">
      <c r="C454">
        <f t="shared" si="32"/>
        <v>448</v>
      </c>
      <c r="D454">
        <v>3.5</v>
      </c>
    </row>
    <row r="455" spans="3:4">
      <c r="C455">
        <f t="shared" si="32"/>
        <v>449</v>
      </c>
      <c r="D455" s="1">
        <v>1827</v>
      </c>
    </row>
    <row r="456" spans="3:4">
      <c r="C456">
        <f t="shared" si="32"/>
        <v>450</v>
      </c>
      <c r="D456">
        <v>2.2999999999999998</v>
      </c>
    </row>
    <row r="457" spans="3:4">
      <c r="C457">
        <f t="shared" ref="C457:C520" si="33">C456+1</f>
        <v>451</v>
      </c>
      <c r="D457">
        <v>384</v>
      </c>
    </row>
    <row r="458" spans="3:4">
      <c r="C458">
        <f t="shared" si="33"/>
        <v>452</v>
      </c>
      <c r="D458">
        <v>20</v>
      </c>
    </row>
    <row r="459" spans="3:4">
      <c r="C459">
        <f t="shared" si="33"/>
        <v>453</v>
      </c>
      <c r="D459" s="1">
        <v>14705</v>
      </c>
    </row>
    <row r="460" spans="3:4">
      <c r="C460">
        <f t="shared" si="33"/>
        <v>454</v>
      </c>
      <c r="D460" s="1">
        <v>6916</v>
      </c>
    </row>
    <row r="461" spans="3:4">
      <c r="C461">
        <f t="shared" si="33"/>
        <v>455</v>
      </c>
      <c r="D461">
        <v>735</v>
      </c>
    </row>
    <row r="462" spans="3:4">
      <c r="C462">
        <f t="shared" si="33"/>
        <v>456</v>
      </c>
      <c r="D462">
        <v>5.8</v>
      </c>
    </row>
    <row r="463" spans="3:4">
      <c r="C463">
        <f t="shared" si="33"/>
        <v>457</v>
      </c>
      <c r="D463" s="1">
        <v>1471</v>
      </c>
    </row>
    <row r="464" spans="3:4">
      <c r="C464">
        <f t="shared" si="33"/>
        <v>458</v>
      </c>
      <c r="D464">
        <v>2.9</v>
      </c>
    </row>
    <row r="465" spans="3:4">
      <c r="C465">
        <f t="shared" si="33"/>
        <v>459</v>
      </c>
      <c r="D465" s="1">
        <v>2206</v>
      </c>
    </row>
    <row r="466" spans="3:4">
      <c r="C466">
        <f t="shared" si="33"/>
        <v>460</v>
      </c>
      <c r="D466">
        <v>1.9</v>
      </c>
    </row>
    <row r="467" spans="3:4">
      <c r="C467">
        <f t="shared" si="33"/>
        <v>461</v>
      </c>
      <c r="D467">
        <v>385</v>
      </c>
    </row>
    <row r="468" spans="3:4">
      <c r="C468">
        <f t="shared" si="33"/>
        <v>462</v>
      </c>
      <c r="D468">
        <v>15</v>
      </c>
    </row>
    <row r="469" spans="3:4">
      <c r="C469">
        <f t="shared" si="33"/>
        <v>463</v>
      </c>
      <c r="D469" s="1">
        <v>16511</v>
      </c>
    </row>
    <row r="470" spans="3:4">
      <c r="C470">
        <f t="shared" si="33"/>
        <v>464</v>
      </c>
      <c r="D470" s="1">
        <v>6916</v>
      </c>
    </row>
    <row r="471" spans="3:4">
      <c r="C471">
        <f t="shared" si="33"/>
        <v>465</v>
      </c>
      <c r="D471">
        <v>826</v>
      </c>
    </row>
    <row r="472" spans="3:4">
      <c r="C472">
        <f t="shared" si="33"/>
        <v>466</v>
      </c>
      <c r="D472">
        <v>5.0999999999999996</v>
      </c>
    </row>
    <row r="473" spans="3:4">
      <c r="C473">
        <f t="shared" si="33"/>
        <v>467</v>
      </c>
      <c r="D473" s="1">
        <v>1651</v>
      </c>
    </row>
    <row r="474" spans="3:4">
      <c r="C474">
        <f t="shared" si="33"/>
        <v>468</v>
      </c>
      <c r="D474">
        <v>2.6</v>
      </c>
    </row>
    <row r="475" spans="3:4">
      <c r="C475">
        <f t="shared" si="33"/>
        <v>469</v>
      </c>
      <c r="D475" s="1">
        <v>2477</v>
      </c>
    </row>
    <row r="476" spans="3:4">
      <c r="C476">
        <f t="shared" si="33"/>
        <v>470</v>
      </c>
      <c r="D476">
        <v>1.7</v>
      </c>
    </row>
    <row r="477" spans="3:4">
      <c r="C477">
        <f t="shared" si="33"/>
        <v>471</v>
      </c>
      <c r="D477">
        <v>386</v>
      </c>
    </row>
    <row r="478" spans="3:4">
      <c r="C478">
        <f t="shared" si="33"/>
        <v>472</v>
      </c>
      <c r="D478">
        <v>15</v>
      </c>
    </row>
    <row r="479" spans="3:4">
      <c r="C479">
        <f t="shared" si="33"/>
        <v>473</v>
      </c>
      <c r="D479" s="1">
        <v>10910</v>
      </c>
    </row>
    <row r="480" spans="3:4">
      <c r="C480">
        <f t="shared" si="33"/>
        <v>474</v>
      </c>
      <c r="D480" s="1">
        <v>6916</v>
      </c>
    </row>
    <row r="481" spans="3:4">
      <c r="C481">
        <f t="shared" si="33"/>
        <v>475</v>
      </c>
      <c r="D481">
        <v>546</v>
      </c>
    </row>
    <row r="482" spans="3:4">
      <c r="C482">
        <f t="shared" si="33"/>
        <v>476</v>
      </c>
      <c r="D482">
        <v>7.8</v>
      </c>
    </row>
    <row r="483" spans="3:4">
      <c r="C483">
        <f t="shared" si="33"/>
        <v>477</v>
      </c>
      <c r="D483" s="1">
        <v>1091</v>
      </c>
    </row>
    <row r="484" spans="3:4">
      <c r="C484">
        <f t="shared" si="33"/>
        <v>478</v>
      </c>
      <c r="D484">
        <v>3.9</v>
      </c>
    </row>
    <row r="485" spans="3:4">
      <c r="C485">
        <f t="shared" si="33"/>
        <v>479</v>
      </c>
      <c r="D485" s="1">
        <v>1637</v>
      </c>
    </row>
    <row r="486" spans="3:4">
      <c r="C486">
        <f t="shared" si="33"/>
        <v>480</v>
      </c>
      <c r="D486">
        <v>2.6</v>
      </c>
    </row>
    <row r="487" spans="3:4">
      <c r="C487">
        <f t="shared" si="33"/>
        <v>481</v>
      </c>
      <c r="D487">
        <v>387</v>
      </c>
    </row>
    <row r="488" spans="3:4">
      <c r="C488">
        <f t="shared" si="33"/>
        <v>482</v>
      </c>
      <c r="D488">
        <v>15</v>
      </c>
    </row>
    <row r="489" spans="3:4">
      <c r="C489">
        <f t="shared" si="33"/>
        <v>483</v>
      </c>
      <c r="D489" s="1">
        <v>12671</v>
      </c>
    </row>
    <row r="490" spans="3:4">
      <c r="C490">
        <f t="shared" si="33"/>
        <v>484</v>
      </c>
      <c r="D490" s="1">
        <v>6916</v>
      </c>
    </row>
    <row r="491" spans="3:4">
      <c r="C491">
        <f t="shared" si="33"/>
        <v>485</v>
      </c>
      <c r="D491">
        <v>634</v>
      </c>
    </row>
    <row r="492" spans="3:4">
      <c r="C492">
        <f t="shared" si="33"/>
        <v>486</v>
      </c>
      <c r="D492">
        <v>6.7</v>
      </c>
    </row>
    <row r="493" spans="3:4">
      <c r="C493">
        <f t="shared" si="33"/>
        <v>487</v>
      </c>
      <c r="D493" s="1">
        <v>1267</v>
      </c>
    </row>
    <row r="494" spans="3:4">
      <c r="C494">
        <f t="shared" si="33"/>
        <v>488</v>
      </c>
      <c r="D494">
        <v>3.4</v>
      </c>
    </row>
    <row r="495" spans="3:4">
      <c r="C495">
        <f t="shared" si="33"/>
        <v>489</v>
      </c>
      <c r="D495" s="1">
        <v>1901</v>
      </c>
    </row>
    <row r="496" spans="3:4">
      <c r="C496">
        <f t="shared" si="33"/>
        <v>490</v>
      </c>
      <c r="D496">
        <v>2.2000000000000002</v>
      </c>
    </row>
    <row r="497" spans="3:4">
      <c r="C497">
        <f t="shared" si="33"/>
        <v>491</v>
      </c>
      <c r="D497">
        <v>388</v>
      </c>
    </row>
    <row r="498" spans="3:4">
      <c r="C498">
        <f t="shared" si="33"/>
        <v>492</v>
      </c>
      <c r="D498">
        <v>15</v>
      </c>
    </row>
    <row r="499" spans="3:4">
      <c r="C499">
        <f t="shared" si="33"/>
        <v>493</v>
      </c>
      <c r="D499" s="1">
        <v>11279</v>
      </c>
    </row>
    <row r="500" spans="3:4">
      <c r="C500">
        <f t="shared" si="33"/>
        <v>494</v>
      </c>
      <c r="D500" s="1">
        <v>6916</v>
      </c>
    </row>
    <row r="501" spans="3:4">
      <c r="C501">
        <f t="shared" si="33"/>
        <v>495</v>
      </c>
      <c r="D501">
        <v>564</v>
      </c>
    </row>
    <row r="502" spans="3:4">
      <c r="C502">
        <f t="shared" si="33"/>
        <v>496</v>
      </c>
      <c r="D502">
        <v>7.5</v>
      </c>
    </row>
    <row r="503" spans="3:4">
      <c r="C503">
        <f t="shared" si="33"/>
        <v>497</v>
      </c>
      <c r="D503" s="1">
        <v>1128</v>
      </c>
    </row>
    <row r="504" spans="3:4">
      <c r="C504">
        <f t="shared" si="33"/>
        <v>498</v>
      </c>
      <c r="D504">
        <v>3.8</v>
      </c>
    </row>
    <row r="505" spans="3:4">
      <c r="C505">
        <f t="shared" si="33"/>
        <v>499</v>
      </c>
      <c r="D505" s="1">
        <v>1692</v>
      </c>
    </row>
    <row r="506" spans="3:4">
      <c r="C506">
        <f t="shared" si="33"/>
        <v>500</v>
      </c>
      <c r="D506">
        <v>2.5</v>
      </c>
    </row>
    <row r="507" spans="3:4">
      <c r="C507">
        <f t="shared" si="33"/>
        <v>501</v>
      </c>
      <c r="D507">
        <v>389</v>
      </c>
    </row>
    <row r="508" spans="3:4">
      <c r="C508">
        <f t="shared" si="33"/>
        <v>502</v>
      </c>
      <c r="D508">
        <v>15</v>
      </c>
    </row>
    <row r="509" spans="3:4">
      <c r="C509">
        <f t="shared" si="33"/>
        <v>503</v>
      </c>
      <c r="D509" s="1">
        <v>18732</v>
      </c>
    </row>
    <row r="510" spans="3:4">
      <c r="C510">
        <f t="shared" si="33"/>
        <v>504</v>
      </c>
      <c r="D510" s="1">
        <v>6916</v>
      </c>
    </row>
    <row r="511" spans="3:4">
      <c r="C511">
        <f t="shared" si="33"/>
        <v>505</v>
      </c>
      <c r="D511">
        <v>937</v>
      </c>
    </row>
    <row r="512" spans="3:4">
      <c r="C512">
        <f t="shared" si="33"/>
        <v>506</v>
      </c>
      <c r="D512">
        <v>4.5</v>
      </c>
    </row>
    <row r="513" spans="3:4">
      <c r="C513">
        <f t="shared" si="33"/>
        <v>507</v>
      </c>
      <c r="D513" s="1">
        <v>1873</v>
      </c>
    </row>
    <row r="514" spans="3:4">
      <c r="C514">
        <f t="shared" si="33"/>
        <v>508</v>
      </c>
      <c r="D514">
        <v>2.2999999999999998</v>
      </c>
    </row>
    <row r="515" spans="3:4">
      <c r="C515">
        <f t="shared" si="33"/>
        <v>509</v>
      </c>
      <c r="D515" s="1">
        <v>2810</v>
      </c>
    </row>
    <row r="516" spans="3:4">
      <c r="C516">
        <f t="shared" si="33"/>
        <v>510</v>
      </c>
      <c r="D516">
        <v>1.5</v>
      </c>
    </row>
    <row r="517" spans="3:4">
      <c r="C517">
        <f t="shared" si="33"/>
        <v>511</v>
      </c>
      <c r="D517">
        <v>407</v>
      </c>
    </row>
    <row r="518" spans="3:4">
      <c r="C518">
        <f t="shared" si="33"/>
        <v>512</v>
      </c>
      <c r="D518">
        <v>7.5</v>
      </c>
    </row>
    <row r="519" spans="3:4">
      <c r="C519">
        <f t="shared" si="33"/>
        <v>513</v>
      </c>
      <c r="D519" s="1">
        <v>9853</v>
      </c>
    </row>
    <row r="520" spans="3:4">
      <c r="C520">
        <f t="shared" si="33"/>
        <v>514</v>
      </c>
      <c r="D520" s="1">
        <v>8736</v>
      </c>
    </row>
    <row r="521" spans="3:4">
      <c r="C521">
        <f t="shared" ref="C521:C584" si="34">C520+1</f>
        <v>515</v>
      </c>
      <c r="D521">
        <v>493</v>
      </c>
    </row>
    <row r="522" spans="3:4">
      <c r="C522">
        <f t="shared" si="34"/>
        <v>516</v>
      </c>
      <c r="D522">
        <v>6.8</v>
      </c>
    </row>
    <row r="523" spans="3:4">
      <c r="C523">
        <f t="shared" si="34"/>
        <v>517</v>
      </c>
      <c r="D523">
        <v>985</v>
      </c>
    </row>
    <row r="524" spans="3:4">
      <c r="C524">
        <f t="shared" si="34"/>
        <v>518</v>
      </c>
      <c r="D524">
        <v>3.4</v>
      </c>
    </row>
    <row r="525" spans="3:4">
      <c r="C525">
        <f t="shared" si="34"/>
        <v>519</v>
      </c>
      <c r="D525" s="1">
        <v>1478</v>
      </c>
    </row>
    <row r="526" spans="3:4">
      <c r="C526">
        <f t="shared" si="34"/>
        <v>520</v>
      </c>
      <c r="D526">
        <v>2.2999999999999998</v>
      </c>
    </row>
    <row r="527" spans="3:4">
      <c r="C527">
        <f t="shared" si="34"/>
        <v>521</v>
      </c>
      <c r="D527">
        <v>408</v>
      </c>
    </row>
    <row r="528" spans="3:4">
      <c r="C528">
        <f t="shared" si="34"/>
        <v>522</v>
      </c>
      <c r="D528">
        <v>10</v>
      </c>
    </row>
    <row r="529" spans="3:4">
      <c r="C529">
        <f t="shared" si="34"/>
        <v>523</v>
      </c>
      <c r="D529" s="1">
        <v>9441</v>
      </c>
    </row>
    <row r="530" spans="3:4">
      <c r="C530">
        <f t="shared" si="34"/>
        <v>524</v>
      </c>
      <c r="D530" s="1">
        <v>8736</v>
      </c>
    </row>
    <row r="531" spans="3:4">
      <c r="C531">
        <f t="shared" si="34"/>
        <v>525</v>
      </c>
      <c r="D531">
        <v>472</v>
      </c>
    </row>
    <row r="532" spans="3:4">
      <c r="C532">
        <f t="shared" si="34"/>
        <v>526</v>
      </c>
      <c r="D532">
        <v>7.1</v>
      </c>
    </row>
    <row r="533" spans="3:4">
      <c r="C533">
        <f t="shared" si="34"/>
        <v>527</v>
      </c>
      <c r="D533">
        <v>944</v>
      </c>
    </row>
    <row r="534" spans="3:4">
      <c r="C534">
        <f t="shared" si="34"/>
        <v>528</v>
      </c>
      <c r="D534">
        <v>3.5</v>
      </c>
    </row>
    <row r="535" spans="3:4">
      <c r="C535">
        <f t="shared" si="34"/>
        <v>529</v>
      </c>
      <c r="D535" s="1">
        <v>1416</v>
      </c>
    </row>
    <row r="536" spans="3:4">
      <c r="C536">
        <f t="shared" si="34"/>
        <v>530</v>
      </c>
      <c r="D536">
        <v>2.4</v>
      </c>
    </row>
    <row r="537" spans="3:4">
      <c r="C537">
        <f t="shared" si="34"/>
        <v>531</v>
      </c>
      <c r="D537">
        <v>409</v>
      </c>
    </row>
    <row r="538" spans="3:4">
      <c r="C538">
        <f t="shared" si="34"/>
        <v>532</v>
      </c>
      <c r="D538">
        <v>15</v>
      </c>
    </row>
    <row r="539" spans="3:4">
      <c r="C539">
        <f t="shared" si="34"/>
        <v>533</v>
      </c>
      <c r="D539" s="1">
        <v>6465</v>
      </c>
    </row>
    <row r="540" spans="3:4">
      <c r="C540">
        <f t="shared" si="34"/>
        <v>534</v>
      </c>
      <c r="D540" s="1">
        <v>8736</v>
      </c>
    </row>
    <row r="541" spans="3:4">
      <c r="C541">
        <f t="shared" si="34"/>
        <v>535</v>
      </c>
      <c r="D541">
        <v>323</v>
      </c>
    </row>
    <row r="542" spans="3:4">
      <c r="C542">
        <f t="shared" si="34"/>
        <v>536</v>
      </c>
      <c r="D542">
        <v>13.1</v>
      </c>
    </row>
    <row r="543" spans="3:4">
      <c r="C543">
        <f t="shared" si="34"/>
        <v>537</v>
      </c>
      <c r="D543">
        <v>647</v>
      </c>
    </row>
    <row r="544" spans="3:4">
      <c r="C544">
        <f t="shared" si="34"/>
        <v>538</v>
      </c>
      <c r="D544">
        <v>6.6</v>
      </c>
    </row>
    <row r="545" spans="3:4">
      <c r="C545">
        <f t="shared" si="34"/>
        <v>539</v>
      </c>
      <c r="D545">
        <v>970</v>
      </c>
    </row>
    <row r="546" spans="3:4">
      <c r="C546">
        <f t="shared" si="34"/>
        <v>540</v>
      </c>
      <c r="D546">
        <v>4.4000000000000004</v>
      </c>
    </row>
    <row r="547" spans="3:4">
      <c r="C547">
        <f t="shared" si="34"/>
        <v>541</v>
      </c>
      <c r="D547">
        <v>410</v>
      </c>
    </row>
    <row r="548" spans="3:4">
      <c r="C548">
        <f t="shared" si="34"/>
        <v>542</v>
      </c>
      <c r="D548">
        <v>25</v>
      </c>
    </row>
    <row r="549" spans="3:4">
      <c r="C549">
        <f t="shared" si="34"/>
        <v>543</v>
      </c>
      <c r="D549" s="1">
        <v>30264</v>
      </c>
    </row>
    <row r="550" spans="3:4">
      <c r="C550">
        <f t="shared" si="34"/>
        <v>544</v>
      </c>
      <c r="D550" s="1">
        <v>8736</v>
      </c>
    </row>
    <row r="551" spans="3:4">
      <c r="C551">
        <f t="shared" si="34"/>
        <v>545</v>
      </c>
      <c r="D551" s="1">
        <v>1513</v>
      </c>
    </row>
    <row r="552" spans="3:4">
      <c r="C552">
        <f t="shared" si="34"/>
        <v>546</v>
      </c>
      <c r="D552">
        <v>2.8</v>
      </c>
    </row>
    <row r="553" spans="3:4">
      <c r="C553">
        <f t="shared" si="34"/>
        <v>547</v>
      </c>
      <c r="D553" s="1">
        <v>3026</v>
      </c>
    </row>
    <row r="554" spans="3:4">
      <c r="C554">
        <f t="shared" si="34"/>
        <v>548</v>
      </c>
      <c r="D554">
        <v>1.4</v>
      </c>
    </row>
    <row r="555" spans="3:4">
      <c r="C555">
        <f t="shared" si="34"/>
        <v>549</v>
      </c>
      <c r="D555" s="1">
        <v>4540</v>
      </c>
    </row>
    <row r="556" spans="3:4">
      <c r="C556">
        <f t="shared" si="34"/>
        <v>550</v>
      </c>
      <c r="D556">
        <v>0.9</v>
      </c>
    </row>
    <row r="557" spans="3:4">
      <c r="C557">
        <f t="shared" si="34"/>
        <v>551</v>
      </c>
      <c r="D557">
        <v>411</v>
      </c>
    </row>
    <row r="558" spans="3:4">
      <c r="C558">
        <f t="shared" si="34"/>
        <v>552</v>
      </c>
      <c r="D558">
        <v>25</v>
      </c>
    </row>
    <row r="559" spans="3:4">
      <c r="C559">
        <f t="shared" si="34"/>
        <v>553</v>
      </c>
      <c r="D559" s="1">
        <v>21681</v>
      </c>
    </row>
    <row r="560" spans="3:4">
      <c r="C560">
        <f t="shared" si="34"/>
        <v>554</v>
      </c>
      <c r="D560" s="1">
        <v>8736</v>
      </c>
    </row>
    <row r="561" spans="3:4">
      <c r="C561">
        <f t="shared" si="34"/>
        <v>555</v>
      </c>
      <c r="D561" s="1">
        <v>1084</v>
      </c>
    </row>
    <row r="562" spans="3:4">
      <c r="C562">
        <f t="shared" si="34"/>
        <v>556</v>
      </c>
      <c r="D562">
        <v>4.4000000000000004</v>
      </c>
    </row>
    <row r="563" spans="3:4">
      <c r="C563">
        <f t="shared" si="34"/>
        <v>557</v>
      </c>
      <c r="D563" s="1">
        <v>2168</v>
      </c>
    </row>
    <row r="564" spans="3:4">
      <c r="C564">
        <f t="shared" si="34"/>
        <v>558</v>
      </c>
      <c r="D564">
        <v>2.2000000000000002</v>
      </c>
    </row>
    <row r="565" spans="3:4">
      <c r="C565">
        <f t="shared" si="34"/>
        <v>559</v>
      </c>
      <c r="D565" s="1">
        <v>3252</v>
      </c>
    </row>
    <row r="566" spans="3:4">
      <c r="C566">
        <f t="shared" si="34"/>
        <v>560</v>
      </c>
      <c r="D566">
        <v>1.5</v>
      </c>
    </row>
    <row r="567" spans="3:4">
      <c r="C567">
        <f t="shared" si="34"/>
        <v>561</v>
      </c>
      <c r="D567">
        <v>423</v>
      </c>
    </row>
    <row r="568" spans="3:4">
      <c r="C568">
        <f t="shared" si="34"/>
        <v>562</v>
      </c>
      <c r="D568">
        <v>10</v>
      </c>
    </row>
    <row r="569" spans="3:4">
      <c r="C569">
        <f t="shared" si="34"/>
        <v>563</v>
      </c>
      <c r="D569" s="1">
        <v>7592</v>
      </c>
    </row>
    <row r="570" spans="3:4">
      <c r="C570">
        <f t="shared" si="34"/>
        <v>564</v>
      </c>
      <c r="D570" s="1">
        <v>4420</v>
      </c>
    </row>
    <row r="571" spans="3:4">
      <c r="C571">
        <f t="shared" si="34"/>
        <v>565</v>
      </c>
      <c r="D571">
        <v>380</v>
      </c>
    </row>
    <row r="572" spans="3:4">
      <c r="C572">
        <f t="shared" si="34"/>
        <v>566</v>
      </c>
      <c r="D572">
        <v>11.2</v>
      </c>
    </row>
    <row r="573" spans="3:4">
      <c r="C573">
        <f t="shared" si="34"/>
        <v>567</v>
      </c>
      <c r="D573">
        <v>759</v>
      </c>
    </row>
    <row r="574" spans="3:4">
      <c r="C574">
        <f t="shared" si="34"/>
        <v>568</v>
      </c>
      <c r="D574">
        <v>5.6</v>
      </c>
    </row>
    <row r="575" spans="3:4">
      <c r="C575">
        <f t="shared" si="34"/>
        <v>569</v>
      </c>
      <c r="D575" s="1">
        <v>1139</v>
      </c>
    </row>
    <row r="576" spans="3:4">
      <c r="C576">
        <f t="shared" si="34"/>
        <v>570</v>
      </c>
      <c r="D576">
        <v>3.7</v>
      </c>
    </row>
    <row r="577" spans="3:4">
      <c r="C577">
        <f t="shared" si="34"/>
        <v>571</v>
      </c>
      <c r="D577">
        <v>424</v>
      </c>
    </row>
    <row r="578" spans="3:4">
      <c r="C578">
        <f t="shared" si="34"/>
        <v>572</v>
      </c>
      <c r="D578">
        <v>10</v>
      </c>
    </row>
    <row r="579" spans="3:4">
      <c r="C579">
        <f t="shared" si="34"/>
        <v>573</v>
      </c>
      <c r="D579" s="1">
        <v>7768</v>
      </c>
    </row>
    <row r="580" spans="3:4">
      <c r="C580">
        <f t="shared" si="34"/>
        <v>574</v>
      </c>
      <c r="D580" s="1">
        <v>4420</v>
      </c>
    </row>
    <row r="581" spans="3:4">
      <c r="C581">
        <f t="shared" si="34"/>
        <v>575</v>
      </c>
      <c r="D581">
        <v>388</v>
      </c>
    </row>
    <row r="582" spans="3:4">
      <c r="C582">
        <f t="shared" si="34"/>
        <v>576</v>
      </c>
      <c r="D582">
        <v>10.9</v>
      </c>
    </row>
    <row r="583" spans="3:4">
      <c r="C583">
        <f t="shared" si="34"/>
        <v>577</v>
      </c>
      <c r="D583">
        <v>777</v>
      </c>
    </row>
    <row r="584" spans="3:4">
      <c r="C584">
        <f t="shared" si="34"/>
        <v>578</v>
      </c>
      <c r="D584">
        <v>5.5</v>
      </c>
    </row>
    <row r="585" spans="3:4">
      <c r="C585">
        <f t="shared" ref="C585:C616" si="35">C584+1</f>
        <v>579</v>
      </c>
      <c r="D585" s="1">
        <v>1165</v>
      </c>
    </row>
    <row r="586" spans="3:4">
      <c r="C586">
        <f t="shared" si="35"/>
        <v>580</v>
      </c>
      <c r="D586">
        <v>3.6</v>
      </c>
    </row>
    <row r="587" spans="3:4">
      <c r="C587">
        <f t="shared" si="35"/>
        <v>581</v>
      </c>
      <c r="D587">
        <v>425</v>
      </c>
    </row>
    <row r="588" spans="3:4">
      <c r="C588">
        <f t="shared" si="35"/>
        <v>582</v>
      </c>
      <c r="D588">
        <v>10</v>
      </c>
    </row>
    <row r="589" spans="3:4">
      <c r="C589">
        <f t="shared" si="35"/>
        <v>583</v>
      </c>
      <c r="D589" s="1">
        <v>9205</v>
      </c>
    </row>
    <row r="590" spans="3:4">
      <c r="C590">
        <f t="shared" si="35"/>
        <v>584</v>
      </c>
      <c r="D590" s="1">
        <v>4420</v>
      </c>
    </row>
    <row r="591" spans="3:4">
      <c r="C591">
        <f t="shared" si="35"/>
        <v>585</v>
      </c>
      <c r="D591">
        <v>460</v>
      </c>
    </row>
    <row r="592" spans="3:4">
      <c r="C592">
        <f t="shared" si="35"/>
        <v>586</v>
      </c>
      <c r="D592">
        <v>9.1999999999999993</v>
      </c>
    </row>
    <row r="593" spans="3:4">
      <c r="C593">
        <f t="shared" si="35"/>
        <v>587</v>
      </c>
      <c r="D593">
        <v>920</v>
      </c>
    </row>
    <row r="594" spans="3:4">
      <c r="C594">
        <f t="shared" si="35"/>
        <v>588</v>
      </c>
      <c r="D594">
        <v>4.5999999999999996</v>
      </c>
    </row>
    <row r="595" spans="3:4">
      <c r="C595">
        <f t="shared" si="35"/>
        <v>589</v>
      </c>
      <c r="D595" s="1">
        <v>1381</v>
      </c>
    </row>
    <row r="596" spans="3:4">
      <c r="C596">
        <f t="shared" si="35"/>
        <v>590</v>
      </c>
      <c r="D596">
        <v>3.1</v>
      </c>
    </row>
    <row r="597" spans="3:4">
      <c r="C597">
        <f t="shared" si="35"/>
        <v>591</v>
      </c>
      <c r="D597">
        <v>426</v>
      </c>
    </row>
    <row r="598" spans="3:4">
      <c r="C598">
        <f t="shared" si="35"/>
        <v>592</v>
      </c>
      <c r="D598">
        <v>10</v>
      </c>
    </row>
    <row r="599" spans="3:4">
      <c r="C599">
        <f t="shared" si="35"/>
        <v>593</v>
      </c>
      <c r="D599" s="1">
        <v>7960</v>
      </c>
    </row>
    <row r="600" spans="3:4">
      <c r="C600">
        <f t="shared" si="35"/>
        <v>594</v>
      </c>
      <c r="D600" s="1">
        <v>4420</v>
      </c>
    </row>
    <row r="601" spans="3:4">
      <c r="C601">
        <f t="shared" si="35"/>
        <v>595</v>
      </c>
      <c r="D601">
        <v>398</v>
      </c>
    </row>
    <row r="602" spans="3:4">
      <c r="C602">
        <f t="shared" si="35"/>
        <v>596</v>
      </c>
      <c r="D602">
        <v>10.7</v>
      </c>
    </row>
    <row r="603" spans="3:4">
      <c r="C603">
        <f t="shared" si="35"/>
        <v>597</v>
      </c>
      <c r="D603">
        <v>796</v>
      </c>
    </row>
    <row r="604" spans="3:4">
      <c r="C604">
        <f t="shared" si="35"/>
        <v>598</v>
      </c>
      <c r="D604">
        <v>5.3</v>
      </c>
    </row>
    <row r="605" spans="3:4">
      <c r="C605">
        <f t="shared" si="35"/>
        <v>599</v>
      </c>
      <c r="D605" s="1">
        <v>1194</v>
      </c>
    </row>
    <row r="606" spans="3:4">
      <c r="C606">
        <f t="shared" si="35"/>
        <v>600</v>
      </c>
      <c r="D606">
        <v>3.6</v>
      </c>
    </row>
    <row r="607" spans="3:4">
      <c r="C607">
        <f t="shared" si="35"/>
        <v>601</v>
      </c>
      <c r="D607">
        <v>427</v>
      </c>
    </row>
    <row r="608" spans="3:4">
      <c r="C608">
        <f t="shared" si="35"/>
        <v>602</v>
      </c>
      <c r="D608">
        <v>10</v>
      </c>
    </row>
    <row r="609" spans="3:4">
      <c r="C609">
        <f t="shared" si="35"/>
        <v>603</v>
      </c>
      <c r="D609" s="1">
        <v>9867</v>
      </c>
    </row>
    <row r="610" spans="3:4">
      <c r="C610">
        <f t="shared" si="35"/>
        <v>604</v>
      </c>
      <c r="D610" s="1">
        <v>4420</v>
      </c>
    </row>
    <row r="611" spans="3:4">
      <c r="C611">
        <f t="shared" si="35"/>
        <v>605</v>
      </c>
      <c r="D611">
        <v>493</v>
      </c>
    </row>
    <row r="612" spans="3:4">
      <c r="C612">
        <f t="shared" si="35"/>
        <v>606</v>
      </c>
      <c r="D612">
        <v>8.6</v>
      </c>
    </row>
    <row r="613" spans="3:4">
      <c r="C613">
        <f t="shared" si="35"/>
        <v>607</v>
      </c>
      <c r="D613">
        <v>987</v>
      </c>
    </row>
    <row r="614" spans="3:4">
      <c r="C614">
        <f t="shared" si="35"/>
        <v>608</v>
      </c>
      <c r="D614">
        <v>4.3</v>
      </c>
    </row>
    <row r="615" spans="3:4">
      <c r="C615">
        <f t="shared" si="35"/>
        <v>609</v>
      </c>
      <c r="D615" s="1">
        <v>1480</v>
      </c>
    </row>
    <row r="616" spans="3:4">
      <c r="C616">
        <f t="shared" si="35"/>
        <v>610</v>
      </c>
      <c r="D616">
        <v>2.9</v>
      </c>
    </row>
  </sheetData>
  <mergeCells count="1">
    <mergeCell ref="V5:Y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7PSourceSummary</vt:lpstr>
      <vt:lpstr>forRPM</vt:lpstr>
      <vt:lpstr>SC Retro</vt:lpstr>
      <vt:lpstr>Measure InputOutput_Out</vt:lpstr>
      <vt:lpstr>Measure InputOutput</vt:lpstr>
      <vt:lpstr>MMap</vt:lpstr>
      <vt:lpstr>Summary</vt:lpstr>
      <vt:lpstr>Market Data</vt:lpstr>
      <vt:lpstr>Savings</vt:lpstr>
      <vt:lpstr>Cost</vt:lpstr>
      <vt:lpstr>PNNL SVGs Data</vt:lpstr>
      <vt:lpstr>Savings Actual All</vt:lpstr>
      <vt:lpstr>Savings Weath Normalized All</vt:lpstr>
      <vt:lpstr>Codes</vt:lpstr>
      <vt:lpstr>Saturation</vt:lpstr>
      <vt:lpstr>6P Sizes</vt:lpstr>
      <vt:lpstr>Notes</vt:lpstr>
      <vt:lpstr>To Do 7P</vt:lpstr>
      <vt:lpstr>Sheet2</vt:lpstr>
      <vt:lpstr>forRPM!MeasureOutput</vt:lpstr>
      <vt:lpstr>SCRETRO</vt:lpstr>
      <vt:lpstr>SCRetro_A</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Smit</dc:creator>
  <cp:lastModifiedBy>Kevin Smit</cp:lastModifiedBy>
  <cp:lastPrinted>2014-12-09T00:48:59Z</cp:lastPrinted>
  <dcterms:created xsi:type="dcterms:W3CDTF">2014-11-24T03:35:51Z</dcterms:created>
  <dcterms:modified xsi:type="dcterms:W3CDTF">2015-03-19T16:27:22Z</dcterms:modified>
</cp:coreProperties>
</file>