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externalLinks/externalLink6.xml" ContentType="application/vnd.openxmlformats-officedocument.spreadsheetml.externalLink+xml"/>
  <Default Extension="emf" ContentType="image/x-emf"/>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Default Extension="doc" ContentType="application/msword"/>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35" windowWidth="23910" windowHeight="9975"/>
  </bookViews>
  <sheets>
    <sheet name="7PSourceSummary" sheetId="5" r:id="rId1"/>
    <sheet name="SC-New" sheetId="35" r:id="rId2"/>
    <sheet name="SC-NR" sheetId="36" r:id="rId3"/>
    <sheet name="M_Input_Out" sheetId="53" r:id="rId4"/>
    <sheet name="M_Input" sheetId="52" r:id="rId5"/>
    <sheet name="M_Input (WT)" sheetId="32" r:id="rId6"/>
    <sheet name="M_Input(Fixture)" sheetId="6" r:id="rId7"/>
    <sheet name="M_Input (WT)(wo OM)_Out" sheetId="55" r:id="rId8"/>
    <sheet name="M_Input (WT)(wo OM)" sheetId="41" r:id="rId9"/>
    <sheet name="MMap" sheetId="27" r:id="rId10"/>
    <sheet name="Luminaires 7P" sheetId="25" r:id="rId11"/>
    <sheet name="Pricing" sheetId="23" r:id="rId12"/>
    <sheet name="SatPen" sheetId="24" r:id="rId13"/>
    <sheet name="Outdoor Stock" sheetId="18" r:id="rId14"/>
    <sheet name="Performance 7P" sheetId="26" r:id="rId15"/>
    <sheet name="Sources OM" sheetId="12" r:id="rId16"/>
    <sheet name="Life Table" sheetId="17" r:id="rId17"/>
    <sheet name="References" sheetId="22" r:id="rId18"/>
    <sheet name="Sources Stock 6P" sheetId="11" r:id="rId19"/>
    <sheet name="ToDo7P" sheetId="40" r:id="rId20"/>
  </sheets>
  <externalReferences>
    <externalReference r:id="rId21"/>
    <externalReference r:id="rId22"/>
    <externalReference r:id="rId23"/>
    <externalReference r:id="rId24"/>
    <externalReference r:id="rId25"/>
    <externalReference r:id="rId26"/>
  </externalReferences>
  <definedNames>
    <definedName name="_xlnm._FilterDatabase" localSheetId="9" hidden="1">MMap!$B$12:$AP$36</definedName>
    <definedName name="_Key1" localSheetId="10" hidden="1">#REF!</definedName>
    <definedName name="_Key1" localSheetId="4" hidden="1">#REF!</definedName>
    <definedName name="_Key1" localSheetId="5" hidden="1">#REF!</definedName>
    <definedName name="_Key1" localSheetId="8" hidden="1">#REF!</definedName>
    <definedName name="_Key1" localSheetId="9" hidden="1">#REF!</definedName>
    <definedName name="_Key1" localSheetId="2" hidden="1">#REF!</definedName>
    <definedName name="_Key1" hidden="1">#REF!</definedName>
    <definedName name="_Order1" hidden="1">255</definedName>
    <definedName name="_Sort" localSheetId="10" hidden="1">#REF!</definedName>
    <definedName name="_Sort" localSheetId="4" hidden="1">#REF!</definedName>
    <definedName name="_Sort" localSheetId="5" hidden="1">#REF!</definedName>
    <definedName name="_Sort" localSheetId="8" hidden="1">#REF!</definedName>
    <definedName name="_Sort" localSheetId="9" hidden="1">#REF!</definedName>
    <definedName name="_Sort" localSheetId="2" hidden="1">#REF!</definedName>
    <definedName name="_Sort" hidden="1">#REF!</definedName>
    <definedName name="atest">"a15:c19"</definedName>
    <definedName name="Baseline">[1]ValidationLists!$G$2:$G$4</definedName>
    <definedName name="BLDGTYP" localSheetId="1">[2]APPLIC!$C$11:$T$11</definedName>
    <definedName name="BLDGTYP" localSheetId="2">[2]APPLIC!$C$11:$T$11</definedName>
    <definedName name="Category">[1]ValidationLists!$D$2:$D$6</definedName>
    <definedName name="CostDataSourceTypes">[1]ValidationLists!$A$2:$A$12</definedName>
    <definedName name="LinkedWorkbooks" localSheetId="4">#REF!</definedName>
    <definedName name="LinkedWorkbooks" localSheetId="8">#REF!</definedName>
    <definedName name="LinkedWorkbooks">#REF!</definedName>
    <definedName name="list_Checkmark">[1]ProData!$AI$6:$AI$6</definedName>
    <definedName name="list_FuelType">[1]ProData!$AA$6:$AA$7</definedName>
    <definedName name="list_MCtabs">[1]ProData!$AK$6:$AK$28</definedName>
    <definedName name="list_OnOff">[1]ProData!$AC$6:$AC$7</definedName>
    <definedName name="list_Sector">[1]ProData!$AE$6:$AE$12</definedName>
    <definedName name="LookupTable" localSheetId="4">#REF!</definedName>
    <definedName name="LookupTable" localSheetId="8">#REF!</definedName>
    <definedName name="LookupTable">#REF!</definedName>
    <definedName name="Method">[1]ValidationLists!$C$2:$C$6</definedName>
    <definedName name="OutShapeSave">#REF!</definedName>
    <definedName name="PC_Main">[3]!PC_Main</definedName>
    <definedName name="Population">'[4]Pop Forecast (Base Case)'!$B$5:$BC$10</definedName>
    <definedName name="Procedure">[1]ValidationLists!$E$2:$E$5</definedName>
    <definedName name="ProData_MeasureType" localSheetId="4">[1]ProData!#REF!</definedName>
    <definedName name="ProData_MeasureType" localSheetId="8">[1]ProData!#REF!</definedName>
    <definedName name="ProData_MeasureType">[1]ProData!#REF!</definedName>
    <definedName name="SECTOR_INPUTS">'[1]ProCost 7th Plan Inputs'!$A$1:$L$75</definedName>
    <definedName name="TestMeasure">[3]!TestMeasure</definedName>
    <definedName name="VSTOCK">[2]Lookup!$C$4:$D$12</definedName>
    <definedName name="WattClass">'Outdoor Stock'!$T$6:$U$15</definedName>
  </definedNames>
  <calcPr calcId="125725"/>
</workbook>
</file>

<file path=xl/calcChain.xml><?xml version="1.0" encoding="utf-8"?>
<calcChain xmlns="http://schemas.openxmlformats.org/spreadsheetml/2006/main">
  <c r="C41" i="24"/>
  <c r="G27" i="18"/>
  <c r="A71" i="36"/>
  <c r="B71"/>
  <c r="A72"/>
  <c r="B72"/>
  <c r="A73"/>
  <c r="B73"/>
  <c r="A74"/>
  <c r="B74"/>
  <c r="B70"/>
  <c r="A70"/>
  <c r="A46" i="35"/>
  <c r="B46"/>
  <c r="A47"/>
  <c r="B47"/>
  <c r="A48"/>
  <c r="B48"/>
  <c r="A49"/>
  <c r="B49"/>
  <c r="B45"/>
  <c r="A45"/>
  <c r="C71" i="36" l="1"/>
  <c r="C72"/>
  <c r="C73"/>
  <c r="C74"/>
  <c r="C70"/>
  <c r="D59" l="1"/>
  <c r="D60"/>
  <c r="D61"/>
  <c r="D62"/>
  <c r="D58"/>
  <c r="D49"/>
  <c r="D50"/>
  <c r="D51"/>
  <c r="D52"/>
  <c r="D48"/>
  <c r="D39"/>
  <c r="C39" s="1"/>
  <c r="D40"/>
  <c r="C40" s="1"/>
  <c r="D41"/>
  <c r="C41" s="1"/>
  <c r="D42"/>
  <c r="B42" s="1"/>
  <c r="D38"/>
  <c r="C38" s="1"/>
  <c r="C32"/>
  <c r="B32"/>
  <c r="AF74" s="1"/>
  <c r="C31"/>
  <c r="B31"/>
  <c r="AF73" s="1"/>
  <c r="C30"/>
  <c r="B30"/>
  <c r="AF72" s="1"/>
  <c r="C29"/>
  <c r="B29"/>
  <c r="AF71" s="1"/>
  <c r="C28"/>
  <c r="B28"/>
  <c r="AF70" s="1"/>
  <c r="AE71"/>
  <c r="AE72"/>
  <c r="AE73"/>
  <c r="AE74"/>
  <c r="AE70"/>
  <c r="AU10" i="27"/>
  <c r="AT10"/>
  <c r="AS10"/>
  <c r="AR10"/>
  <c r="AQ10"/>
  <c r="AP10"/>
  <c r="AO10"/>
  <c r="AN10"/>
  <c r="AM10"/>
  <c r="AL10"/>
  <c r="AK10"/>
  <c r="AJ10"/>
  <c r="AI10"/>
  <c r="AH10"/>
  <c r="AG10"/>
  <c r="AF10"/>
  <c r="AE10"/>
  <c r="AD10"/>
  <c r="AC10"/>
  <c r="AB10"/>
  <c r="AA10"/>
  <c r="Z10"/>
  <c r="Y10"/>
  <c r="X10"/>
  <c r="W10"/>
  <c r="V10"/>
  <c r="U10"/>
  <c r="T10"/>
  <c r="S10"/>
  <c r="R10"/>
  <c r="Q10"/>
  <c r="P10"/>
  <c r="O10"/>
  <c r="N10"/>
  <c r="M10"/>
  <c r="L10"/>
  <c r="K10"/>
  <c r="J10"/>
  <c r="I10"/>
  <c r="H10"/>
  <c r="G10"/>
  <c r="F10"/>
  <c r="E10"/>
  <c r="D10"/>
  <c r="C10"/>
  <c r="B10"/>
  <c r="A10"/>
  <c r="Y5" i="25"/>
  <c r="B39" i="36" l="1"/>
  <c r="C42"/>
  <c r="B40"/>
  <c r="B41"/>
  <c r="B38"/>
  <c r="D128" i="35" l="1"/>
  <c r="D127"/>
  <c r="B26" l="1"/>
  <c r="B25"/>
  <c r="B24"/>
  <c r="B23"/>
  <c r="B22"/>
  <c r="AA18" i="25"/>
  <c r="B28" i="35" l="1"/>
  <c r="M20" i="25"/>
  <c r="M21"/>
  <c r="M22"/>
  <c r="M24"/>
  <c r="M25"/>
  <c r="M26"/>
  <c r="M28"/>
  <c r="M29"/>
  <c r="M30"/>
  <c r="M19"/>
  <c r="M8"/>
  <c r="M9"/>
  <c r="M10"/>
  <c r="M11"/>
  <c r="M12"/>
  <c r="M13"/>
  <c r="M14"/>
  <c r="M15"/>
  <c r="M16"/>
  <c r="M17"/>
  <c r="M18"/>
  <c r="M7"/>
  <c r="T51" i="23" l="1"/>
  <c r="J31" i="52"/>
  <c r="J30"/>
  <c r="J29"/>
  <c r="J28"/>
  <c r="J27"/>
  <c r="J26"/>
  <c r="J25"/>
  <c r="J24"/>
  <c r="J23"/>
  <c r="J22"/>
  <c r="J21"/>
  <c r="J20"/>
  <c r="J19"/>
  <c r="J18"/>
  <c r="J17"/>
  <c r="J16"/>
  <c r="J15"/>
  <c r="J14"/>
  <c r="J13"/>
  <c r="J12"/>
  <c r="J11"/>
  <c r="J10"/>
  <c r="J9"/>
  <c r="J8"/>
  <c r="B2"/>
  <c r="AC26" i="27" l="1"/>
  <c r="AC27"/>
  <c r="AC28"/>
  <c r="AC29"/>
  <c r="AC30"/>
  <c r="AC31"/>
  <c r="AC32"/>
  <c r="AC33"/>
  <c r="AC34"/>
  <c r="AC35"/>
  <c r="AC36"/>
  <c r="AC25"/>
  <c r="AC14"/>
  <c r="AC15"/>
  <c r="AC16"/>
  <c r="AC17"/>
  <c r="AC18"/>
  <c r="AC19"/>
  <c r="AC20"/>
  <c r="AC21"/>
  <c r="AC22"/>
  <c r="AC23"/>
  <c r="AC24"/>
  <c r="AC13"/>
  <c r="F8" i="25"/>
  <c r="F9"/>
  <c r="F10"/>
  <c r="F11"/>
  <c r="F12"/>
  <c r="F13"/>
  <c r="F14"/>
  <c r="F15"/>
  <c r="F16"/>
  <c r="F17"/>
  <c r="F18"/>
  <c r="F7"/>
  <c r="F3"/>
  <c r="F23" s="1"/>
  <c r="N3"/>
  <c r="N19" s="1"/>
  <c r="J20"/>
  <c r="J21"/>
  <c r="J22"/>
  <c r="J23"/>
  <c r="J24"/>
  <c r="J25"/>
  <c r="J26"/>
  <c r="J27"/>
  <c r="J28"/>
  <c r="J29"/>
  <c r="J30"/>
  <c r="J19"/>
  <c r="F30" l="1"/>
  <c r="AD36" i="27" s="1"/>
  <c r="AA25"/>
  <c r="AF19" i="25"/>
  <c r="AB19"/>
  <c r="AA19"/>
  <c r="AG19"/>
  <c r="AC19"/>
  <c r="F21"/>
  <c r="AD27" i="27" s="1"/>
  <c r="N25" i="25"/>
  <c r="F22"/>
  <c r="AD28" i="27" s="1"/>
  <c r="N30" i="25"/>
  <c r="F29"/>
  <c r="AD35" i="27" s="1"/>
  <c r="F25" i="25"/>
  <c r="AD31" i="27" s="1"/>
  <c r="N20" i="25"/>
  <c r="AA14" i="27" s="1"/>
  <c r="F26" i="25"/>
  <c r="AD32" i="27" s="1"/>
  <c r="AD29"/>
  <c r="AD17"/>
  <c r="N26" i="25"/>
  <c r="N29"/>
  <c r="N24"/>
  <c r="F28"/>
  <c r="F24"/>
  <c r="F20"/>
  <c r="N21"/>
  <c r="AD24" i="27"/>
  <c r="N28" i="25"/>
  <c r="N22"/>
  <c r="F19"/>
  <c r="F27"/>
  <c r="AA13" i="27"/>
  <c r="AC28" i="25" l="1"/>
  <c r="AG28"/>
  <c r="AF28"/>
  <c r="AB28"/>
  <c r="AA28"/>
  <c r="AA26"/>
  <c r="AG26"/>
  <c r="AC26"/>
  <c r="AF26"/>
  <c r="AB26"/>
  <c r="AA26" i="27"/>
  <c r="AG20" i="25"/>
  <c r="AC20"/>
  <c r="AF20"/>
  <c r="AB20"/>
  <c r="AA20"/>
  <c r="AG29"/>
  <c r="AC29"/>
  <c r="AA29"/>
  <c r="AF29"/>
  <c r="AB29"/>
  <c r="AA36" i="27"/>
  <c r="AG30" i="25"/>
  <c r="AA30"/>
  <c r="AC30"/>
  <c r="AF30"/>
  <c r="AB30"/>
  <c r="AA22"/>
  <c r="AG22"/>
  <c r="AC22"/>
  <c r="AF22"/>
  <c r="AB22"/>
  <c r="AG24"/>
  <c r="AC24"/>
  <c r="AF24"/>
  <c r="AB24"/>
  <c r="AA24"/>
  <c r="AG21"/>
  <c r="AC21"/>
  <c r="AA21"/>
  <c r="AF21"/>
  <c r="AB21"/>
  <c r="AA19" i="27"/>
  <c r="AG25" i="25"/>
  <c r="AC25"/>
  <c r="AF25"/>
  <c r="AB25"/>
  <c r="AA25"/>
  <c r="AD15" i="27"/>
  <c r="AD20"/>
  <c r="AD23"/>
  <c r="AA24"/>
  <c r="AA31"/>
  <c r="AD16"/>
  <c r="AD19"/>
  <c r="AD33"/>
  <c r="AD21"/>
  <c r="AA30"/>
  <c r="AA18"/>
  <c r="AA34"/>
  <c r="AA22"/>
  <c r="AA27"/>
  <c r="AA15"/>
  <c r="AD34"/>
  <c r="AD22"/>
  <c r="AA32"/>
  <c r="AA20"/>
  <c r="AA28"/>
  <c r="AA16"/>
  <c r="AD30"/>
  <c r="AD18"/>
  <c r="AD25"/>
  <c r="AD13"/>
  <c r="AD26"/>
  <c r="AD14"/>
  <c r="AA35"/>
  <c r="AA23"/>
  <c r="D40" i="24"/>
  <c r="B37"/>
  <c r="B38"/>
  <c r="B39"/>
  <c r="B36"/>
  <c r="B40" l="1"/>
  <c r="W29" i="18"/>
  <c r="W28"/>
  <c r="W27"/>
  <c r="W26"/>
  <c r="X25" s="1"/>
  <c r="W25"/>
  <c r="X20"/>
  <c r="V20"/>
  <c r="U29"/>
  <c r="U28"/>
  <c r="U27"/>
  <c r="U26"/>
  <c r="U25"/>
  <c r="V25" s="1"/>
  <c r="AC71" i="36" l="1"/>
  <c r="AG71" s="1"/>
  <c r="AC72"/>
  <c r="AG72" s="1"/>
  <c r="AC73"/>
  <c r="AG73" s="1"/>
  <c r="AC74"/>
  <c r="AG74" s="1"/>
  <c r="AC70"/>
  <c r="AG70" s="1"/>
  <c r="B5" i="25"/>
  <c r="C5"/>
  <c r="D5"/>
  <c r="E5"/>
  <c r="G5"/>
  <c r="H5"/>
  <c r="I5"/>
  <c r="J5"/>
  <c r="K5"/>
  <c r="L5"/>
  <c r="M5"/>
  <c r="N5"/>
  <c r="O5"/>
  <c r="P5"/>
  <c r="Q5"/>
  <c r="R5"/>
  <c r="S5"/>
  <c r="T5"/>
  <c r="U5"/>
  <c r="V5"/>
  <c r="W5"/>
  <c r="X5"/>
  <c r="Z5"/>
  <c r="AA5"/>
  <c r="AB5"/>
  <c r="AC5"/>
  <c r="AD5"/>
  <c r="AE5"/>
  <c r="AF5"/>
  <c r="AG5"/>
  <c r="AH5"/>
  <c r="A5"/>
  <c r="AG76" i="36" l="1"/>
  <c r="B2" i="41"/>
  <c r="AI12" i="18"/>
  <c r="AO15"/>
  <c r="AO8"/>
  <c r="AI8"/>
  <c r="AO21"/>
  <c r="AO19"/>
  <c r="B22" i="40" l="1"/>
  <c r="B23"/>
  <c r="B24"/>
  <c r="B25"/>
  <c r="B26"/>
  <c r="B27"/>
  <c r="B28"/>
  <c r="B29"/>
  <c r="B30"/>
  <c r="B31"/>
  <c r="B32"/>
  <c r="B7"/>
  <c r="B8"/>
  <c r="B9"/>
  <c r="B10"/>
  <c r="B11"/>
  <c r="B12"/>
  <c r="B13"/>
  <c r="B14"/>
  <c r="B15"/>
  <c r="B16"/>
  <c r="B17"/>
  <c r="B18"/>
  <c r="B19"/>
  <c r="B20"/>
  <c r="B21"/>
  <c r="B6"/>
  <c r="B5"/>
  <c r="B4"/>
  <c r="B3"/>
  <c r="E13" i="12"/>
  <c r="E12"/>
  <c r="D12"/>
  <c r="G29" i="18"/>
  <c r="C8" i="36" l="1"/>
  <c r="F10"/>
  <c r="G10" s="1"/>
  <c r="H10" s="1"/>
  <c r="C9"/>
  <c r="C49" i="35"/>
  <c r="C48"/>
  <c r="C47"/>
  <c r="C46"/>
  <c r="C45"/>
  <c r="B15"/>
  <c r="D13"/>
  <c r="C8"/>
  <c r="E13"/>
  <c r="F10"/>
  <c r="F13" s="1"/>
  <c r="C9"/>
  <c r="D74" i="36" l="1"/>
  <c r="D73"/>
  <c r="D72"/>
  <c r="D117"/>
  <c r="D71"/>
  <c r="D70"/>
  <c r="D47"/>
  <c r="D57"/>
  <c r="C21" i="35"/>
  <c r="C33"/>
  <c r="C11"/>
  <c r="C11" i="36"/>
  <c r="C118"/>
  <c r="I10"/>
  <c r="E11"/>
  <c r="F14" i="35"/>
  <c r="F15" s="1"/>
  <c r="F17" s="1"/>
  <c r="C93"/>
  <c r="G10"/>
  <c r="H10" s="1"/>
  <c r="H13" s="1"/>
  <c r="E14"/>
  <c r="E15" s="1"/>
  <c r="E17" s="1"/>
  <c r="E18" s="1"/>
  <c r="E11"/>
  <c r="E118" i="36" l="1"/>
  <c r="E80"/>
  <c r="E68"/>
  <c r="E81"/>
  <c r="E69"/>
  <c r="B76"/>
  <c r="E19"/>
  <c r="E27"/>
  <c r="E37"/>
  <c r="D37"/>
  <c r="D27"/>
  <c r="E47"/>
  <c r="E20" i="35"/>
  <c r="E55"/>
  <c r="E92" s="1"/>
  <c r="E44"/>
  <c r="E56" s="1"/>
  <c r="E93" s="1"/>
  <c r="E43"/>
  <c r="B51"/>
  <c r="E134"/>
  <c r="E33"/>
  <c r="G13"/>
  <c r="G14" s="1"/>
  <c r="G15" s="1"/>
  <c r="G17" s="1"/>
  <c r="J10" i="36"/>
  <c r="E117"/>
  <c r="F11"/>
  <c r="E12"/>
  <c r="I10" i="35"/>
  <c r="J10" s="1"/>
  <c r="F11"/>
  <c r="E12"/>
  <c r="F81" i="36" l="1"/>
  <c r="F69"/>
  <c r="F117"/>
  <c r="F118"/>
  <c r="F80"/>
  <c r="F68"/>
  <c r="F47"/>
  <c r="F19"/>
  <c r="F27"/>
  <c r="F37"/>
  <c r="F44" i="35"/>
  <c r="F56" s="1"/>
  <c r="F93" s="1"/>
  <c r="F55"/>
  <c r="F92" s="1"/>
  <c r="F43"/>
  <c r="F134"/>
  <c r="F20"/>
  <c r="I13"/>
  <c r="I14" s="1"/>
  <c r="I15" s="1"/>
  <c r="I17" s="1"/>
  <c r="H14"/>
  <c r="H15" s="1"/>
  <c r="H17" s="1"/>
  <c r="F33"/>
  <c r="F12" i="36"/>
  <c r="G11"/>
  <c r="K10"/>
  <c r="J13" i="35"/>
  <c r="K10"/>
  <c r="F12"/>
  <c r="G11"/>
  <c r="G117" i="36" l="1"/>
  <c r="G118"/>
  <c r="G80"/>
  <c r="G68"/>
  <c r="G81"/>
  <c r="G69"/>
  <c r="G27"/>
  <c r="G37"/>
  <c r="G19"/>
  <c r="G47"/>
  <c r="G55" i="35"/>
  <c r="G92" s="1"/>
  <c r="G43"/>
  <c r="G44"/>
  <c r="G56" s="1"/>
  <c r="G93" s="1"/>
  <c r="J14"/>
  <c r="J15" s="1"/>
  <c r="J17" s="1"/>
  <c r="G134"/>
  <c r="G20"/>
  <c r="G33"/>
  <c r="G12" i="36"/>
  <c r="H11"/>
  <c r="L10"/>
  <c r="H11" i="35"/>
  <c r="G12"/>
  <c r="L10"/>
  <c r="K13"/>
  <c r="K14" s="1"/>
  <c r="K15" s="1"/>
  <c r="K17" s="1"/>
  <c r="H117" i="36" l="1"/>
  <c r="H118"/>
  <c r="H80"/>
  <c r="H68"/>
  <c r="H81"/>
  <c r="H69"/>
  <c r="H27"/>
  <c r="H37"/>
  <c r="H19"/>
  <c r="H47"/>
  <c r="H55" i="35"/>
  <c r="H92" s="1"/>
  <c r="H43"/>
  <c r="H44"/>
  <c r="H56" s="1"/>
  <c r="H93" s="1"/>
  <c r="H134"/>
  <c r="H20"/>
  <c r="H33"/>
  <c r="I11" i="36"/>
  <c r="H12"/>
  <c r="M10"/>
  <c r="L13" i="35"/>
  <c r="L14" s="1"/>
  <c r="L15" s="1"/>
  <c r="L17" s="1"/>
  <c r="M10"/>
  <c r="H12"/>
  <c r="I11"/>
  <c r="I118" i="36" l="1"/>
  <c r="I80"/>
  <c r="I68"/>
  <c r="I81"/>
  <c r="I69"/>
  <c r="I117"/>
  <c r="I27"/>
  <c r="I37"/>
  <c r="I19"/>
  <c r="I47"/>
  <c r="I55" i="35"/>
  <c r="I92" s="1"/>
  <c r="I43"/>
  <c r="I44"/>
  <c r="I56" s="1"/>
  <c r="I93" s="1"/>
  <c r="I134"/>
  <c r="I20"/>
  <c r="I33"/>
  <c r="N10" i="36"/>
  <c r="J11"/>
  <c r="I12"/>
  <c r="N10" i="35"/>
  <c r="M13"/>
  <c r="M14" s="1"/>
  <c r="M15" s="1"/>
  <c r="M17" s="1"/>
  <c r="J11"/>
  <c r="I12"/>
  <c r="J81" i="36" l="1"/>
  <c r="J69"/>
  <c r="J117"/>
  <c r="J118"/>
  <c r="J80"/>
  <c r="J68"/>
  <c r="J27"/>
  <c r="J37"/>
  <c r="J19"/>
  <c r="J47"/>
  <c r="J44" i="35"/>
  <c r="J56" s="1"/>
  <c r="J93" s="1"/>
  <c r="J55"/>
  <c r="J92" s="1"/>
  <c r="J43"/>
  <c r="J134"/>
  <c r="J20"/>
  <c r="J33"/>
  <c r="J12" i="36"/>
  <c r="K11"/>
  <c r="O10"/>
  <c r="O10" i="35"/>
  <c r="N13"/>
  <c r="N14" s="1"/>
  <c r="N15" s="1"/>
  <c r="N17" s="1"/>
  <c r="J12"/>
  <c r="K11"/>
  <c r="K117" i="36" l="1"/>
  <c r="K118"/>
  <c r="K80"/>
  <c r="K68"/>
  <c r="K81"/>
  <c r="K69"/>
  <c r="K27"/>
  <c r="K37"/>
  <c r="K19"/>
  <c r="K47"/>
  <c r="K44" i="35"/>
  <c r="K56" s="1"/>
  <c r="K93" s="1"/>
  <c r="K55"/>
  <c r="K92" s="1"/>
  <c r="K43"/>
  <c r="K134"/>
  <c r="K20"/>
  <c r="K33"/>
  <c r="P10" i="36"/>
  <c r="L11"/>
  <c r="K12"/>
  <c r="L11" i="35"/>
  <c r="K12"/>
  <c r="P10"/>
  <c r="O13"/>
  <c r="O14" s="1"/>
  <c r="O15" s="1"/>
  <c r="O17" s="1"/>
  <c r="L117" i="36" l="1"/>
  <c r="L118"/>
  <c r="L80"/>
  <c r="L68"/>
  <c r="L81"/>
  <c r="L69"/>
  <c r="L27"/>
  <c r="L37"/>
  <c r="L19"/>
  <c r="L47"/>
  <c r="L44" i="35"/>
  <c r="L56" s="1"/>
  <c r="L93" s="1"/>
  <c r="L55"/>
  <c r="L92" s="1"/>
  <c r="L43"/>
  <c r="L134"/>
  <c r="L20"/>
  <c r="L33"/>
  <c r="M11" i="36"/>
  <c r="L12"/>
  <c r="Q10"/>
  <c r="L12" i="35"/>
  <c r="M11"/>
  <c r="P13"/>
  <c r="P14" s="1"/>
  <c r="P15" s="1"/>
  <c r="P17" s="1"/>
  <c r="Q10"/>
  <c r="M118" i="36" l="1"/>
  <c r="M80"/>
  <c r="M68"/>
  <c r="M81"/>
  <c r="M69"/>
  <c r="M117"/>
  <c r="M27"/>
  <c r="M37"/>
  <c r="M19"/>
  <c r="M47"/>
  <c r="M55" i="35"/>
  <c r="M92" s="1"/>
  <c r="M43"/>
  <c r="M44"/>
  <c r="M56" s="1"/>
  <c r="M93" s="1"/>
  <c r="M134"/>
  <c r="M20"/>
  <c r="M33"/>
  <c r="R10" i="36"/>
  <c r="N11"/>
  <c r="M12"/>
  <c r="R10" i="35"/>
  <c r="Q13"/>
  <c r="Q14" s="1"/>
  <c r="Q15" s="1"/>
  <c r="Q17" s="1"/>
  <c r="M12"/>
  <c r="N11"/>
  <c r="N81" i="36" l="1"/>
  <c r="N69"/>
  <c r="N117"/>
  <c r="N118"/>
  <c r="N80"/>
  <c r="N68"/>
  <c r="N27"/>
  <c r="N37"/>
  <c r="N19"/>
  <c r="N47"/>
  <c r="N44" i="35"/>
  <c r="N56" s="1"/>
  <c r="N93" s="1"/>
  <c r="N55"/>
  <c r="N92" s="1"/>
  <c r="N43"/>
  <c r="N134"/>
  <c r="N20"/>
  <c r="N33"/>
  <c r="S10" i="36"/>
  <c r="N12"/>
  <c r="O11"/>
  <c r="N12" i="35"/>
  <c r="O11"/>
  <c r="R13"/>
  <c r="R14" s="1"/>
  <c r="R15" s="1"/>
  <c r="R17" s="1"/>
  <c r="S10"/>
  <c r="O117" i="36" l="1"/>
  <c r="O118"/>
  <c r="O80"/>
  <c r="O68"/>
  <c r="O81"/>
  <c r="O69"/>
  <c r="O27"/>
  <c r="O37"/>
  <c r="O19"/>
  <c r="O47"/>
  <c r="O55" i="35"/>
  <c r="O92" s="1"/>
  <c r="O43"/>
  <c r="O44"/>
  <c r="O56" s="1"/>
  <c r="O93" s="1"/>
  <c r="O134"/>
  <c r="O20"/>
  <c r="O33"/>
  <c r="O12" i="36"/>
  <c r="P11"/>
  <c r="T10"/>
  <c r="P11" i="35"/>
  <c r="O12"/>
  <c r="T10"/>
  <c r="S13"/>
  <c r="S14" s="1"/>
  <c r="S15" s="1"/>
  <c r="S17" s="1"/>
  <c r="P117" i="36" l="1"/>
  <c r="P118"/>
  <c r="P80"/>
  <c r="P68"/>
  <c r="P81"/>
  <c r="P69"/>
  <c r="P27"/>
  <c r="P37"/>
  <c r="P19"/>
  <c r="P47"/>
  <c r="P55" i="35"/>
  <c r="P92" s="1"/>
  <c r="P43"/>
  <c r="P44"/>
  <c r="P56" s="1"/>
  <c r="P93" s="1"/>
  <c r="P134"/>
  <c r="P20"/>
  <c r="Y136"/>
  <c r="P33"/>
  <c r="Q11" i="36"/>
  <c r="P12"/>
  <c r="U10"/>
  <c r="P12" i="35"/>
  <c r="Q11"/>
  <c r="T13"/>
  <c r="T14" s="1"/>
  <c r="T15" s="1"/>
  <c r="T17" s="1"/>
  <c r="U10"/>
  <c r="Q118" i="36" l="1"/>
  <c r="Q80"/>
  <c r="Q68"/>
  <c r="Q81"/>
  <c r="Q69"/>
  <c r="Q117"/>
  <c r="Q27"/>
  <c r="Q37"/>
  <c r="Q19"/>
  <c r="Q47"/>
  <c r="Q55" i="35"/>
  <c r="Q92" s="1"/>
  <c r="Q43"/>
  <c r="Q44"/>
  <c r="Q56" s="1"/>
  <c r="Q93" s="1"/>
  <c r="Q134"/>
  <c r="Q20"/>
  <c r="Q33"/>
  <c r="V10" i="36"/>
  <c r="R11"/>
  <c r="Q12"/>
  <c r="U13" i="35"/>
  <c r="U14" s="1"/>
  <c r="U15" s="1"/>
  <c r="U17" s="1"/>
  <c r="V10"/>
  <c r="R11"/>
  <c r="Q12"/>
  <c r="R81" i="36" l="1"/>
  <c r="R69"/>
  <c r="R117"/>
  <c r="R118"/>
  <c r="R80"/>
  <c r="R68"/>
  <c r="R27"/>
  <c r="R37"/>
  <c r="R19"/>
  <c r="R47"/>
  <c r="R44" i="35"/>
  <c r="R56" s="1"/>
  <c r="R93" s="1"/>
  <c r="R55"/>
  <c r="R92" s="1"/>
  <c r="R43"/>
  <c r="R134"/>
  <c r="R20"/>
  <c r="R33"/>
  <c r="W10" i="36"/>
  <c r="R12"/>
  <c r="S11"/>
  <c r="W10" i="35"/>
  <c r="V13"/>
  <c r="V14" s="1"/>
  <c r="V15" s="1"/>
  <c r="V17" s="1"/>
  <c r="R12"/>
  <c r="S11"/>
  <c r="S117" i="36" l="1"/>
  <c r="S118"/>
  <c r="S80"/>
  <c r="S68"/>
  <c r="S81"/>
  <c r="S69"/>
  <c r="S27"/>
  <c r="S37"/>
  <c r="S19"/>
  <c r="S47"/>
  <c r="S55" i="35"/>
  <c r="S92" s="1"/>
  <c r="S43"/>
  <c r="S44"/>
  <c r="S56" s="1"/>
  <c r="S93" s="1"/>
  <c r="S134"/>
  <c r="S20"/>
  <c r="S33"/>
  <c r="T11" i="36"/>
  <c r="S12"/>
  <c r="X10"/>
  <c r="T11" i="35"/>
  <c r="S12"/>
  <c r="X10"/>
  <c r="X13" s="1"/>
  <c r="W13"/>
  <c r="W14" s="1"/>
  <c r="W15" s="1"/>
  <c r="W17" s="1"/>
  <c r="T117" i="36" l="1"/>
  <c r="T118"/>
  <c r="T80"/>
  <c r="T68"/>
  <c r="T81"/>
  <c r="T69"/>
  <c r="T27"/>
  <c r="T37"/>
  <c r="T19"/>
  <c r="T47"/>
  <c r="T44" i="35"/>
  <c r="T56" s="1"/>
  <c r="T93" s="1"/>
  <c r="T55"/>
  <c r="T92" s="1"/>
  <c r="T43"/>
  <c r="T134"/>
  <c r="T20"/>
  <c r="T33"/>
  <c r="U11" i="36"/>
  <c r="T12"/>
  <c r="X14" i="35"/>
  <c r="X15" s="1"/>
  <c r="X17" s="1"/>
  <c r="T12"/>
  <c r="U11"/>
  <c r="U118" i="36" l="1"/>
  <c r="U80"/>
  <c r="U68"/>
  <c r="U81"/>
  <c r="U69"/>
  <c r="U117"/>
  <c r="U27"/>
  <c r="U37"/>
  <c r="U19"/>
  <c r="U47"/>
  <c r="U55" i="35"/>
  <c r="U92" s="1"/>
  <c r="U43"/>
  <c r="U44"/>
  <c r="U56" s="1"/>
  <c r="U93" s="1"/>
  <c r="U134"/>
  <c r="U20"/>
  <c r="Y15"/>
  <c r="U33"/>
  <c r="V11" i="36"/>
  <c r="U12"/>
  <c r="V11" i="35"/>
  <c r="U12"/>
  <c r="V81" i="36" l="1"/>
  <c r="V69"/>
  <c r="V117"/>
  <c r="V118"/>
  <c r="V80"/>
  <c r="V68"/>
  <c r="V27"/>
  <c r="V37"/>
  <c r="V19"/>
  <c r="V47"/>
  <c r="V44" i="35"/>
  <c r="V56" s="1"/>
  <c r="V93" s="1"/>
  <c r="V55"/>
  <c r="V92" s="1"/>
  <c r="V43"/>
  <c r="V134"/>
  <c r="V20"/>
  <c r="V33"/>
  <c r="V12" i="36"/>
  <c r="W11"/>
  <c r="V12" i="35"/>
  <c r="W11"/>
  <c r="W117" i="36" l="1"/>
  <c r="W118"/>
  <c r="W80"/>
  <c r="W68"/>
  <c r="W81"/>
  <c r="W69"/>
  <c r="W27"/>
  <c r="W37"/>
  <c r="W19"/>
  <c r="W47"/>
  <c r="W55" i="35"/>
  <c r="W92" s="1"/>
  <c r="W43"/>
  <c r="W44"/>
  <c r="W56" s="1"/>
  <c r="W93" s="1"/>
  <c r="W134"/>
  <c r="W20"/>
  <c r="W33"/>
  <c r="W12" i="36"/>
  <c r="X11"/>
  <c r="X11" i="35"/>
  <c r="W12"/>
  <c r="X117" i="36" l="1"/>
  <c r="X118"/>
  <c r="X80"/>
  <c r="X68"/>
  <c r="X81"/>
  <c r="X69"/>
  <c r="X37"/>
  <c r="X27"/>
  <c r="X19"/>
  <c r="X47"/>
  <c r="X55" i="35"/>
  <c r="X92" s="1"/>
  <c r="X43"/>
  <c r="X44"/>
  <c r="X56" s="1"/>
  <c r="X93" s="1"/>
  <c r="X134"/>
  <c r="X20"/>
  <c r="X33"/>
  <c r="X12" i="36"/>
  <c r="X12" i="35"/>
  <c r="AO36" i="27" l="1"/>
  <c r="AO35"/>
  <c r="AO34"/>
  <c r="AO33"/>
  <c r="AO28"/>
  <c r="AO27"/>
  <c r="AO26"/>
  <c r="AO25"/>
  <c r="AO24"/>
  <c r="AO23"/>
  <c r="AO22"/>
  <c r="AO21"/>
  <c r="AO20"/>
  <c r="AO19"/>
  <c r="AO18"/>
  <c r="AO17"/>
  <c r="AO16"/>
  <c r="AO15"/>
  <c r="AO14"/>
  <c r="AO13"/>
  <c r="J31" i="32"/>
  <c r="J30"/>
  <c r="J29"/>
  <c r="J28"/>
  <c r="J27"/>
  <c r="J26"/>
  <c r="J25"/>
  <c r="J24"/>
  <c r="J23"/>
  <c r="J22"/>
  <c r="J21"/>
  <c r="J20"/>
  <c r="J19"/>
  <c r="J18"/>
  <c r="J17"/>
  <c r="J16"/>
  <c r="J15"/>
  <c r="J14"/>
  <c r="J13"/>
  <c r="J12"/>
  <c r="J11"/>
  <c r="J10"/>
  <c r="J9"/>
  <c r="J8"/>
  <c r="B2"/>
  <c r="I9" i="6" l="1"/>
  <c r="J9"/>
  <c r="J10"/>
  <c r="I11"/>
  <c r="J11"/>
  <c r="J12"/>
  <c r="I13"/>
  <c r="J13"/>
  <c r="J14"/>
  <c r="I15"/>
  <c r="J15"/>
  <c r="J16"/>
  <c r="I17"/>
  <c r="J17"/>
  <c r="J18"/>
  <c r="I19"/>
  <c r="J19"/>
  <c r="J20"/>
  <c r="I21"/>
  <c r="J21"/>
  <c r="J22"/>
  <c r="I23"/>
  <c r="J23"/>
  <c r="J24"/>
  <c r="I25"/>
  <c r="J25"/>
  <c r="J26"/>
  <c r="I27"/>
  <c r="J27"/>
  <c r="J28"/>
  <c r="I29"/>
  <c r="J29"/>
  <c r="J30"/>
  <c r="I31"/>
  <c r="J31"/>
  <c r="F10"/>
  <c r="F12"/>
  <c r="F14"/>
  <c r="F16"/>
  <c r="F18"/>
  <c r="F20"/>
  <c r="F22"/>
  <c r="F24"/>
  <c r="F26"/>
  <c r="F28"/>
  <c r="F30"/>
  <c r="J8" l="1"/>
  <c r="F8"/>
  <c r="AR25" i="27"/>
  <c r="AR26"/>
  <c r="AR27"/>
  <c r="AR28"/>
  <c r="AR29"/>
  <c r="AO29" s="1"/>
  <c r="AR30"/>
  <c r="AO30" s="1"/>
  <c r="AR31"/>
  <c r="AO31" s="1"/>
  <c r="AR32"/>
  <c r="AR33"/>
  <c r="AR34"/>
  <c r="AR35"/>
  <c r="AR36"/>
  <c r="J26"/>
  <c r="L26" s="1"/>
  <c r="J27"/>
  <c r="L27" s="1"/>
  <c r="J28"/>
  <c r="L28" s="1"/>
  <c r="J29"/>
  <c r="L29" s="1"/>
  <c r="J30"/>
  <c r="L30" s="1"/>
  <c r="J31"/>
  <c r="L31" s="1"/>
  <c r="J32"/>
  <c r="L32" s="1"/>
  <c r="J33"/>
  <c r="L33" s="1"/>
  <c r="J34"/>
  <c r="L34" s="1"/>
  <c r="J35"/>
  <c r="L35" s="1"/>
  <c r="J36"/>
  <c r="L36" s="1"/>
  <c r="J25"/>
  <c r="L25" s="1"/>
  <c r="I26"/>
  <c r="I27"/>
  <c r="I28"/>
  <c r="I29"/>
  <c r="I30"/>
  <c r="I31"/>
  <c r="I32"/>
  <c r="I33"/>
  <c r="I34"/>
  <c r="I35"/>
  <c r="I36"/>
  <c r="I25"/>
  <c r="I14"/>
  <c r="J14"/>
  <c r="L14" s="1"/>
  <c r="I15"/>
  <c r="J15"/>
  <c r="L15" s="1"/>
  <c r="I16"/>
  <c r="J16"/>
  <c r="L16" s="1"/>
  <c r="I17"/>
  <c r="J17"/>
  <c r="L17" s="1"/>
  <c r="I18"/>
  <c r="J18"/>
  <c r="L18" s="1"/>
  <c r="I19"/>
  <c r="J19"/>
  <c r="L19" s="1"/>
  <c r="I20"/>
  <c r="J20"/>
  <c r="L20" s="1"/>
  <c r="I21"/>
  <c r="J21"/>
  <c r="L21" s="1"/>
  <c r="I22"/>
  <c r="J22"/>
  <c r="L22" s="1"/>
  <c r="I23"/>
  <c r="J23"/>
  <c r="L23" s="1"/>
  <c r="I24"/>
  <c r="J24"/>
  <c r="L24" s="1"/>
  <c r="J13"/>
  <c r="L13" s="1"/>
  <c r="D8" i="52" s="1"/>
  <c r="I13" i="27"/>
  <c r="AM27"/>
  <c r="AM29"/>
  <c r="AM31"/>
  <c r="AM33"/>
  <c r="AM35"/>
  <c r="AM25"/>
  <c r="AM15"/>
  <c r="AM17"/>
  <c r="AM19"/>
  <c r="AM21"/>
  <c r="AM23"/>
  <c r="AM13"/>
  <c r="AE26"/>
  <c r="AE27"/>
  <c r="AE28"/>
  <c r="AE29"/>
  <c r="AE30"/>
  <c r="AE31"/>
  <c r="AE32"/>
  <c r="AE33"/>
  <c r="AE34"/>
  <c r="AE35"/>
  <c r="AE36"/>
  <c r="AE25"/>
  <c r="AE14"/>
  <c r="AE15"/>
  <c r="AE16"/>
  <c r="AE17"/>
  <c r="AE18"/>
  <c r="AE19"/>
  <c r="AE20"/>
  <c r="AE22"/>
  <c r="AE23"/>
  <c r="AE24"/>
  <c r="AE13"/>
  <c r="V26"/>
  <c r="V27"/>
  <c r="V28"/>
  <c r="V29"/>
  <c r="V30"/>
  <c r="V31"/>
  <c r="V32"/>
  <c r="V33"/>
  <c r="V34"/>
  <c r="V35"/>
  <c r="V36"/>
  <c r="V25"/>
  <c r="U26"/>
  <c r="U27"/>
  <c r="U28"/>
  <c r="U29"/>
  <c r="U30"/>
  <c r="U31"/>
  <c r="U32"/>
  <c r="U33"/>
  <c r="U34"/>
  <c r="U35"/>
  <c r="U36"/>
  <c r="U25"/>
  <c r="U13"/>
  <c r="U14"/>
  <c r="V14"/>
  <c r="U15"/>
  <c r="V15"/>
  <c r="U16"/>
  <c r="V16"/>
  <c r="U17"/>
  <c r="V17"/>
  <c r="U18"/>
  <c r="V18"/>
  <c r="U19"/>
  <c r="V19"/>
  <c r="U20"/>
  <c r="V20"/>
  <c r="U21"/>
  <c r="V21"/>
  <c r="U22"/>
  <c r="V22"/>
  <c r="U23"/>
  <c r="V23"/>
  <c r="U24"/>
  <c r="V24"/>
  <c r="V13"/>
  <c r="AF14"/>
  <c r="AB14"/>
  <c r="AB15"/>
  <c r="AB16"/>
  <c r="AB17"/>
  <c r="AF18"/>
  <c r="AB18"/>
  <c r="AB19"/>
  <c r="AB20"/>
  <c r="AB21"/>
  <c r="AF22"/>
  <c r="AB22"/>
  <c r="AB23"/>
  <c r="AB24"/>
  <c r="AB13"/>
  <c r="B26"/>
  <c r="B27"/>
  <c r="B28"/>
  <c r="B29"/>
  <c r="B30"/>
  <c r="B31"/>
  <c r="B32"/>
  <c r="B33"/>
  <c r="B34"/>
  <c r="B35"/>
  <c r="B36"/>
  <c r="B25"/>
  <c r="B14"/>
  <c r="B15"/>
  <c r="B16"/>
  <c r="B17"/>
  <c r="B18"/>
  <c r="B19"/>
  <c r="B20"/>
  <c r="B21"/>
  <c r="B22"/>
  <c r="B23"/>
  <c r="B24"/>
  <c r="B13"/>
  <c r="B20" i="25"/>
  <c r="C26" i="27" s="1"/>
  <c r="B21" i="25"/>
  <c r="C27" i="27" s="1"/>
  <c r="B22" i="25"/>
  <c r="C16" i="27" s="1"/>
  <c r="B23" i="25"/>
  <c r="B24"/>
  <c r="C30" i="27" s="1"/>
  <c r="B25" i="25"/>
  <c r="C31" i="27" s="1"/>
  <c r="B26" i="25"/>
  <c r="C32" i="27" s="1"/>
  <c r="B27" i="25"/>
  <c r="B28"/>
  <c r="C34" i="27" s="1"/>
  <c r="B29" i="25"/>
  <c r="C35" i="27" s="1"/>
  <c r="B30" i="25"/>
  <c r="C24" i="27" s="1"/>
  <c r="B19" i="25"/>
  <c r="C25" i="27" s="1"/>
  <c r="W19" i="25"/>
  <c r="X19"/>
  <c r="W20"/>
  <c r="X20"/>
  <c r="W21"/>
  <c r="X21"/>
  <c r="W22"/>
  <c r="X22"/>
  <c r="W23"/>
  <c r="X23"/>
  <c r="W24"/>
  <c r="X24"/>
  <c r="W25"/>
  <c r="X25"/>
  <c r="W26"/>
  <c r="X26"/>
  <c r="W27"/>
  <c r="X27"/>
  <c r="W28"/>
  <c r="X28"/>
  <c r="W29"/>
  <c r="X29"/>
  <c r="W30"/>
  <c r="X30"/>
  <c r="AD30"/>
  <c r="AE30"/>
  <c r="AE20"/>
  <c r="AE21"/>
  <c r="AE22"/>
  <c r="AE23"/>
  <c r="AE24"/>
  <c r="AE25"/>
  <c r="AE26"/>
  <c r="AE27"/>
  <c r="AE28"/>
  <c r="AE29"/>
  <c r="AE19"/>
  <c r="AD20"/>
  <c r="AD21"/>
  <c r="AD22"/>
  <c r="AD23"/>
  <c r="AD24"/>
  <c r="AD25"/>
  <c r="AD26"/>
  <c r="AD27"/>
  <c r="AD28"/>
  <c r="AD29"/>
  <c r="AC10"/>
  <c r="AB10"/>
  <c r="AA10"/>
  <c r="X10"/>
  <c r="W10"/>
  <c r="I10"/>
  <c r="AC9"/>
  <c r="AB9"/>
  <c r="AA9"/>
  <c r="X9"/>
  <c r="W9"/>
  <c r="AH21" s="1"/>
  <c r="G15" i="27" s="1"/>
  <c r="I9" i="25"/>
  <c r="AD19"/>
  <c r="Z36" i="26"/>
  <c r="C33" i="27" l="1"/>
  <c r="F33" s="1"/>
  <c r="B28" i="52" s="1"/>
  <c r="M27" i="25"/>
  <c r="N27" s="1"/>
  <c r="C29" i="27"/>
  <c r="F29" s="1"/>
  <c r="M23" i="25"/>
  <c r="N23" s="1"/>
  <c r="D18" i="41"/>
  <c r="D18" i="52"/>
  <c r="D14" i="41"/>
  <c r="D14" i="52"/>
  <c r="D10" i="41"/>
  <c r="D10" i="52"/>
  <c r="D28" i="41"/>
  <c r="D28" i="52"/>
  <c r="D25" i="41"/>
  <c r="D25" i="52"/>
  <c r="D31" i="41"/>
  <c r="D31" i="52"/>
  <c r="D27" i="41"/>
  <c r="D27" i="52"/>
  <c r="D23" i="41"/>
  <c r="D23" i="52"/>
  <c r="D16" i="41"/>
  <c r="D16" i="52"/>
  <c r="D12" i="41"/>
  <c r="D12" i="52"/>
  <c r="D20" i="41"/>
  <c r="D20" i="52"/>
  <c r="D24" i="41"/>
  <c r="D24" i="52"/>
  <c r="D29" i="41"/>
  <c r="D29" i="52"/>
  <c r="D21" i="41"/>
  <c r="D21" i="52"/>
  <c r="D19" i="41"/>
  <c r="D19" i="52"/>
  <c r="D17" i="41"/>
  <c r="D17" i="52"/>
  <c r="D15" i="41"/>
  <c r="D15" i="52"/>
  <c r="D13" i="41"/>
  <c r="D13" i="52"/>
  <c r="D11" i="41"/>
  <c r="D11" i="52"/>
  <c r="D9" i="41"/>
  <c r="D9" i="52"/>
  <c r="D30" i="41"/>
  <c r="D30" i="52"/>
  <c r="D26" i="41"/>
  <c r="D26" i="52"/>
  <c r="D22" i="41"/>
  <c r="D22" i="52"/>
  <c r="G27" i="27"/>
  <c r="C22" i="6" s="1"/>
  <c r="AH22" i="25"/>
  <c r="G28" i="27" s="1"/>
  <c r="C23" i="6" s="1"/>
  <c r="D8" i="32"/>
  <c r="D8" i="41"/>
  <c r="AH27" i="27"/>
  <c r="AE21"/>
  <c r="AH35"/>
  <c r="AH31"/>
  <c r="AF23"/>
  <c r="AF19"/>
  <c r="AF15"/>
  <c r="D8" i="6"/>
  <c r="F26" i="27"/>
  <c r="B21" i="52" s="1"/>
  <c r="A21" s="1"/>
  <c r="F27" i="27"/>
  <c r="F32"/>
  <c r="B27" i="52" s="1"/>
  <c r="A27" s="1"/>
  <c r="F24" i="27"/>
  <c r="B19" i="52" s="1"/>
  <c r="A19" s="1"/>
  <c r="F16" i="27"/>
  <c r="B11" i="52" s="1"/>
  <c r="C20" i="27"/>
  <c r="F20" s="1"/>
  <c r="C36"/>
  <c r="F36" s="1"/>
  <c r="C28"/>
  <c r="F28" s="1"/>
  <c r="AH20"/>
  <c r="AH36"/>
  <c r="AH28"/>
  <c r="F25"/>
  <c r="C13"/>
  <c r="F13" s="1"/>
  <c r="B8" i="52" s="1"/>
  <c r="C17" i="27"/>
  <c r="F17" s="1"/>
  <c r="AF36"/>
  <c r="AH21"/>
  <c r="AH25"/>
  <c r="F34"/>
  <c r="B29" i="52" s="1"/>
  <c r="F30" i="27"/>
  <c r="B25" i="52" s="1"/>
  <c r="A25" s="1"/>
  <c r="C22" i="27"/>
  <c r="F22" s="1"/>
  <c r="C18"/>
  <c r="F18" s="1"/>
  <c r="C14"/>
  <c r="F14" s="1"/>
  <c r="AU25"/>
  <c r="AH22"/>
  <c r="AH18"/>
  <c r="AH14"/>
  <c r="AH34"/>
  <c r="AH30"/>
  <c r="AH26"/>
  <c r="AH24"/>
  <c r="AH16"/>
  <c r="AH32"/>
  <c r="C21"/>
  <c r="F21" s="1"/>
  <c r="AF32"/>
  <c r="AF28"/>
  <c r="AH17"/>
  <c r="AH29"/>
  <c r="F35"/>
  <c r="F31"/>
  <c r="B26" i="52" s="1"/>
  <c r="A26" s="1"/>
  <c r="C23" i="27"/>
  <c r="F23" s="1"/>
  <c r="B18" i="52" s="1"/>
  <c r="A18" s="1"/>
  <c r="C19" i="27"/>
  <c r="F19" s="1"/>
  <c r="B14" i="52" s="1"/>
  <c r="C15" i="27"/>
  <c r="F15" s="1"/>
  <c r="AU24"/>
  <c r="AU20"/>
  <c r="AU16"/>
  <c r="AH23"/>
  <c r="AH19"/>
  <c r="AH15"/>
  <c r="AO32"/>
  <c r="D30" i="32"/>
  <c r="D30" i="6"/>
  <c r="D26" i="32"/>
  <c r="D26" i="6"/>
  <c r="D22" i="32"/>
  <c r="D22" i="6"/>
  <c r="D31" i="32"/>
  <c r="D31" i="6"/>
  <c r="D27" i="32"/>
  <c r="D27" i="6"/>
  <c r="D23" i="32"/>
  <c r="D23" i="6"/>
  <c r="D20" i="32"/>
  <c r="D20" i="6"/>
  <c r="D28" i="32"/>
  <c r="D28" i="6"/>
  <c r="D24" i="32"/>
  <c r="D24" i="6"/>
  <c r="D29" i="32"/>
  <c r="D29" i="6"/>
  <c r="D25" i="32"/>
  <c r="D25" i="6"/>
  <c r="D21" i="32"/>
  <c r="D21" i="6"/>
  <c r="AU34" i="27"/>
  <c r="AU30"/>
  <c r="AU26"/>
  <c r="AU35"/>
  <c r="AU31"/>
  <c r="AU27"/>
  <c r="AU23"/>
  <c r="AU19"/>
  <c r="AU15"/>
  <c r="D18" i="32"/>
  <c r="D18" i="6"/>
  <c r="C10"/>
  <c r="AH13" i="27"/>
  <c r="AF25"/>
  <c r="AG34"/>
  <c r="AF24"/>
  <c r="AF20"/>
  <c r="AF16"/>
  <c r="AG23"/>
  <c r="AG19"/>
  <c r="AG15"/>
  <c r="AF26"/>
  <c r="AG27"/>
  <c r="AF30"/>
  <c r="AG31"/>
  <c r="AF34"/>
  <c r="AG35"/>
  <c r="D19" i="32"/>
  <c r="D19" i="6"/>
  <c r="D16" i="32"/>
  <c r="D16" i="6"/>
  <c r="D14" i="32"/>
  <c r="D14" i="6"/>
  <c r="D12" i="32"/>
  <c r="D12" i="6"/>
  <c r="D10" i="32"/>
  <c r="D10" i="6"/>
  <c r="AG22" i="27"/>
  <c r="AG14"/>
  <c r="AG26"/>
  <c r="AG30"/>
  <c r="AU18"/>
  <c r="AU22"/>
  <c r="AG24"/>
  <c r="AG20"/>
  <c r="AG16"/>
  <c r="AF27"/>
  <c r="AG28"/>
  <c r="AF31"/>
  <c r="AG32"/>
  <c r="AH33"/>
  <c r="AF35"/>
  <c r="AG36"/>
  <c r="AU28"/>
  <c r="AU32"/>
  <c r="AU36"/>
  <c r="D17" i="32"/>
  <c r="D17" i="6"/>
  <c r="D15" i="32"/>
  <c r="D15" i="6"/>
  <c r="D13" i="32"/>
  <c r="D13" i="6"/>
  <c r="D11" i="32"/>
  <c r="D11" i="6"/>
  <c r="D9" i="32"/>
  <c r="D9" i="6"/>
  <c r="AG18" i="27"/>
  <c r="AU14"/>
  <c r="AG25"/>
  <c r="AF13"/>
  <c r="AU13"/>
  <c r="AG13"/>
  <c r="AB11" i="25"/>
  <c r="AB12"/>
  <c r="AB13"/>
  <c r="AB14"/>
  <c r="AB15"/>
  <c r="AB16"/>
  <c r="AB17"/>
  <c r="AB18"/>
  <c r="W11"/>
  <c r="X11"/>
  <c r="W12"/>
  <c r="AH24" s="1"/>
  <c r="X12"/>
  <c r="W13"/>
  <c r="X13"/>
  <c r="W14"/>
  <c r="AH26" s="1"/>
  <c r="X14"/>
  <c r="W15"/>
  <c r="X15"/>
  <c r="W16"/>
  <c r="AH28" s="1"/>
  <c r="X16"/>
  <c r="W17"/>
  <c r="X17"/>
  <c r="W18"/>
  <c r="AH30" s="1"/>
  <c r="X18"/>
  <c r="AC8"/>
  <c r="AC11"/>
  <c r="AC12"/>
  <c r="AC13"/>
  <c r="AC14"/>
  <c r="AC15"/>
  <c r="AC16"/>
  <c r="AC17"/>
  <c r="AC18"/>
  <c r="AC7"/>
  <c r="AA11"/>
  <c r="AA12"/>
  <c r="AA13"/>
  <c r="AA14"/>
  <c r="AA15"/>
  <c r="AA16"/>
  <c r="AA17"/>
  <c r="I11"/>
  <c r="I12"/>
  <c r="I13"/>
  <c r="I14"/>
  <c r="I15"/>
  <c r="I16"/>
  <c r="I17"/>
  <c r="I18"/>
  <c r="AB8"/>
  <c r="X8"/>
  <c r="W8"/>
  <c r="AH20" s="1"/>
  <c r="AA8"/>
  <c r="I8"/>
  <c r="X7"/>
  <c r="W7"/>
  <c r="AA7"/>
  <c r="I7"/>
  <c r="D4"/>
  <c r="S13" s="1"/>
  <c r="V26" i="23"/>
  <c r="V25" s="1"/>
  <c r="U25"/>
  <c r="Z20"/>
  <c r="Z19"/>
  <c r="Y13"/>
  <c r="X13"/>
  <c r="Y12"/>
  <c r="X12"/>
  <c r="X11"/>
  <c r="X10"/>
  <c r="X9"/>
  <c r="V9"/>
  <c r="V10" s="1"/>
  <c r="V11" s="1"/>
  <c r="X8"/>
  <c r="N18" i="18"/>
  <c r="N17"/>
  <c r="N8"/>
  <c r="G8"/>
  <c r="G10" s="1"/>
  <c r="W31" s="1"/>
  <c r="AA27" i="25" l="1"/>
  <c r="AC27"/>
  <c r="AG27"/>
  <c r="AB27"/>
  <c r="AA21" i="27"/>
  <c r="AF21" s="1"/>
  <c r="AF27" i="25"/>
  <c r="AA33" i="27"/>
  <c r="AC23" i="25"/>
  <c r="AA29" i="27"/>
  <c r="AG23" i="25"/>
  <c r="AB23"/>
  <c r="AF23"/>
  <c r="AA23"/>
  <c r="AA17" i="27"/>
  <c r="B30" i="41"/>
  <c r="A30" s="1"/>
  <c r="B30" i="52"/>
  <c r="A30" s="1"/>
  <c r="B13" i="41"/>
  <c r="A13" s="1"/>
  <c r="B13" i="52"/>
  <c r="B15" i="6"/>
  <c r="A15" s="1"/>
  <c r="B15" i="52"/>
  <c r="B24" i="32"/>
  <c r="A24" s="1"/>
  <c r="B24" i="52"/>
  <c r="A24" s="1"/>
  <c r="B20" i="41"/>
  <c r="A20" s="1"/>
  <c r="B20" i="52"/>
  <c r="A20" s="1"/>
  <c r="B23" i="41"/>
  <c r="A23" s="1"/>
  <c r="B23" i="52"/>
  <c r="A23" s="1"/>
  <c r="F14"/>
  <c r="A14"/>
  <c r="I11"/>
  <c r="A11"/>
  <c r="B10" i="41"/>
  <c r="A10" s="1"/>
  <c r="B10" i="52"/>
  <c r="F8"/>
  <c r="A8"/>
  <c r="B22" i="6"/>
  <c r="A22" s="1"/>
  <c r="B22" i="52"/>
  <c r="A22" s="1"/>
  <c r="B9" i="41"/>
  <c r="A9" s="1"/>
  <c r="B9" i="52"/>
  <c r="B12" i="41"/>
  <c r="A12" s="1"/>
  <c r="B12" i="52"/>
  <c r="B31" i="41"/>
  <c r="A31" s="1"/>
  <c r="B31" i="52"/>
  <c r="A31" s="1"/>
  <c r="R8" i="23"/>
  <c r="R9" s="1"/>
  <c r="M30" i="27"/>
  <c r="F25" i="6" s="1"/>
  <c r="M22" i="27"/>
  <c r="F17" i="6" s="1"/>
  <c r="M14" i="27"/>
  <c r="M32"/>
  <c r="F27" i="6" s="1"/>
  <c r="M24" i="27"/>
  <c r="F19" i="6" s="1"/>
  <c r="M16" i="27"/>
  <c r="M34"/>
  <c r="F29" i="6" s="1"/>
  <c r="M26" i="27"/>
  <c r="F21" i="6" s="1"/>
  <c r="M18" i="27"/>
  <c r="M36"/>
  <c r="F31" i="6" s="1"/>
  <c r="M28" i="27"/>
  <c r="F23" i="6" s="1"/>
  <c r="M20" i="27"/>
  <c r="I29" i="52"/>
  <c r="A29"/>
  <c r="B16" i="41"/>
  <c r="A16" s="1"/>
  <c r="I25" i="52"/>
  <c r="C22"/>
  <c r="I21"/>
  <c r="I23"/>
  <c r="C23"/>
  <c r="B16"/>
  <c r="I31"/>
  <c r="I27"/>
  <c r="I19"/>
  <c r="F25"/>
  <c r="F23"/>
  <c r="F22"/>
  <c r="F18"/>
  <c r="F26"/>
  <c r="B17" i="41"/>
  <c r="A17" s="1"/>
  <c r="B17" i="52"/>
  <c r="F28"/>
  <c r="A28"/>
  <c r="B30" i="6"/>
  <c r="A30" s="1"/>
  <c r="B20" i="32"/>
  <c r="A20" s="1"/>
  <c r="N20" i="18"/>
  <c r="G16" i="27"/>
  <c r="B30" i="32"/>
  <c r="A30" s="1"/>
  <c r="B20" i="6"/>
  <c r="A20" s="1"/>
  <c r="B8" i="32"/>
  <c r="A8" s="1"/>
  <c r="B8" i="41"/>
  <c r="A8" s="1"/>
  <c r="B25" i="32"/>
  <c r="A25" s="1"/>
  <c r="B25" i="41"/>
  <c r="B21" i="32"/>
  <c r="B21" i="41"/>
  <c r="A21" s="1"/>
  <c r="B27" i="32"/>
  <c r="A27" s="1"/>
  <c r="B27" i="41"/>
  <c r="C23"/>
  <c r="B18" i="32"/>
  <c r="A18" s="1"/>
  <c r="B18" i="41"/>
  <c r="B28" i="6"/>
  <c r="A28" s="1"/>
  <c r="B28" i="41"/>
  <c r="B11" i="6"/>
  <c r="A11" s="1"/>
  <c r="B11" i="41"/>
  <c r="A11" s="1"/>
  <c r="B14" i="32"/>
  <c r="A14" s="1"/>
  <c r="B14" i="41"/>
  <c r="B15" i="32"/>
  <c r="B15" i="41"/>
  <c r="B22" i="32"/>
  <c r="A22" s="1"/>
  <c r="B22" i="41"/>
  <c r="B26" i="6"/>
  <c r="A26" s="1"/>
  <c r="B26" i="41"/>
  <c r="B24" i="6"/>
  <c r="A24" s="1"/>
  <c r="B24" i="41"/>
  <c r="B29" i="6"/>
  <c r="A29" s="1"/>
  <c r="B29" i="41"/>
  <c r="B19" i="6"/>
  <c r="A19" s="1"/>
  <c r="B19" i="41"/>
  <c r="B11" i="32"/>
  <c r="A11" s="1"/>
  <c r="B18" i="6"/>
  <c r="A18" s="1"/>
  <c r="B25"/>
  <c r="A25" s="1"/>
  <c r="B12"/>
  <c r="A12" s="1"/>
  <c r="B12" i="32"/>
  <c r="A12" s="1"/>
  <c r="B27" i="6"/>
  <c r="A27" s="1"/>
  <c r="B14"/>
  <c r="A14" s="1"/>
  <c r="B16"/>
  <c r="A16" s="1"/>
  <c r="B16" i="32"/>
  <c r="B17" i="6"/>
  <c r="A17" s="1"/>
  <c r="B17" i="32"/>
  <c r="B13"/>
  <c r="A13" s="1"/>
  <c r="B13" i="6"/>
  <c r="A13" s="1"/>
  <c r="B31" i="32"/>
  <c r="A31" s="1"/>
  <c r="B31" i="6"/>
  <c r="A31" s="1"/>
  <c r="B10"/>
  <c r="A10" s="1"/>
  <c r="B10" i="32"/>
  <c r="A10" s="1"/>
  <c r="B9"/>
  <c r="A9" s="1"/>
  <c r="B9" i="6"/>
  <c r="A9" s="1"/>
  <c r="B23" i="32"/>
  <c r="B23" i="6"/>
  <c r="A23" s="1"/>
  <c r="G26" i="27"/>
  <c r="C21" i="52" s="1"/>
  <c r="G14" i="27"/>
  <c r="AH29" i="25"/>
  <c r="AH27"/>
  <c r="AH25"/>
  <c r="AH23"/>
  <c r="G36" i="27"/>
  <c r="C31" i="41" s="1"/>
  <c r="G24" i="27"/>
  <c r="C19" i="52" s="1"/>
  <c r="G34" i="27"/>
  <c r="C29" i="52" s="1"/>
  <c r="G22" i="27"/>
  <c r="G32"/>
  <c r="C27" i="52" s="1"/>
  <c r="G20" i="27"/>
  <c r="G30"/>
  <c r="C25" i="52" s="1"/>
  <c r="G18" i="27"/>
  <c r="B19" i="32"/>
  <c r="A19" s="1"/>
  <c r="B28"/>
  <c r="B26"/>
  <c r="A26" s="1"/>
  <c r="B29"/>
  <c r="AH19" i="25"/>
  <c r="AL17" i="27"/>
  <c r="N17" s="1"/>
  <c r="AL21"/>
  <c r="N21" s="1"/>
  <c r="I16" i="6" s="1"/>
  <c r="X27" i="27"/>
  <c r="W27" s="1"/>
  <c r="H27" s="1"/>
  <c r="X31"/>
  <c r="W31" s="1"/>
  <c r="H31" s="1"/>
  <c r="E26" i="52" s="1"/>
  <c r="X35" i="27"/>
  <c r="W35" s="1"/>
  <c r="H35" s="1"/>
  <c r="X14"/>
  <c r="W14" s="1"/>
  <c r="H14" s="1"/>
  <c r="X18"/>
  <c r="W18" s="1"/>
  <c r="H18" s="1"/>
  <c r="X22"/>
  <c r="W22" s="1"/>
  <c r="H22" s="1"/>
  <c r="AL25"/>
  <c r="N25" s="1"/>
  <c r="AL19"/>
  <c r="N19" s="1"/>
  <c r="I14" i="52" s="1"/>
  <c r="X29" i="27"/>
  <c r="W29" s="1"/>
  <c r="H29" s="1"/>
  <c r="X25"/>
  <c r="W25" s="1"/>
  <c r="H25" s="1"/>
  <c r="E20" i="52" s="1"/>
  <c r="X16" i="27"/>
  <c r="W16" s="1"/>
  <c r="H16" s="1"/>
  <c r="E11" i="52" s="1"/>
  <c r="X24" i="27"/>
  <c r="W24" s="1"/>
  <c r="H24" s="1"/>
  <c r="AL33"/>
  <c r="N33" s="1"/>
  <c r="I28" i="6" s="1"/>
  <c r="AL13" i="27"/>
  <c r="N13" s="1"/>
  <c r="X32"/>
  <c r="W32" s="1"/>
  <c r="H32" s="1"/>
  <c r="X19"/>
  <c r="W19" s="1"/>
  <c r="H19" s="1"/>
  <c r="AL27"/>
  <c r="N27" s="1"/>
  <c r="I22" i="52" s="1"/>
  <c r="AL31" i="27"/>
  <c r="N31" s="1"/>
  <c r="I26" i="6" s="1"/>
  <c r="AL35" i="27"/>
  <c r="N35" s="1"/>
  <c r="I30" i="6" s="1"/>
  <c r="X26" i="27"/>
  <c r="W26" s="1"/>
  <c r="H26" s="1"/>
  <c r="E21" i="52" s="1"/>
  <c r="X30" i="27"/>
  <c r="W30" s="1"/>
  <c r="H30" s="1"/>
  <c r="X34"/>
  <c r="W34" s="1"/>
  <c r="H34" s="1"/>
  <c r="X17"/>
  <c r="X21"/>
  <c r="X13"/>
  <c r="W13" s="1"/>
  <c r="H13" s="1"/>
  <c r="E8" i="52" s="1"/>
  <c r="AL15" i="27"/>
  <c r="N15" s="1"/>
  <c r="I10" i="52" s="1"/>
  <c r="AL23" i="27"/>
  <c r="N23" s="1"/>
  <c r="I18" i="52" s="1"/>
  <c r="X33" i="27"/>
  <c r="W33" s="1"/>
  <c r="H33" s="1"/>
  <c r="E28" i="52" s="1"/>
  <c r="X20" i="27"/>
  <c r="W20" s="1"/>
  <c r="H20" s="1"/>
  <c r="AL29"/>
  <c r="N29" s="1"/>
  <c r="I24" i="6" s="1"/>
  <c r="X28" i="27"/>
  <c r="W28" s="1"/>
  <c r="H28" s="1"/>
  <c r="X36"/>
  <c r="W36" s="1"/>
  <c r="H36" s="1"/>
  <c r="X15"/>
  <c r="W15" s="1"/>
  <c r="H15" s="1"/>
  <c r="X23"/>
  <c r="W23" s="1"/>
  <c r="H23" s="1"/>
  <c r="E18" i="52" s="1"/>
  <c r="S17" i="25"/>
  <c r="B21" i="6"/>
  <c r="A21" s="1"/>
  <c r="B8"/>
  <c r="A8" s="1"/>
  <c r="F24" i="32"/>
  <c r="S9" i="25"/>
  <c r="S10"/>
  <c r="S18"/>
  <c r="S14"/>
  <c r="S15"/>
  <c r="S11"/>
  <c r="S16"/>
  <c r="S12"/>
  <c r="AB7"/>
  <c r="S7"/>
  <c r="S8"/>
  <c r="Y8" i="23"/>
  <c r="W21" i="27" l="1"/>
  <c r="H21" s="1"/>
  <c r="AG33"/>
  <c r="AF33"/>
  <c r="AU33"/>
  <c r="AU21"/>
  <c r="AG21"/>
  <c r="E24" i="52"/>
  <c r="W17" i="27"/>
  <c r="H17" s="1"/>
  <c r="E12" i="52" s="1"/>
  <c r="AG29" i="27"/>
  <c r="AF29"/>
  <c r="AU29"/>
  <c r="AU17"/>
  <c r="AF17"/>
  <c r="AG17"/>
  <c r="F24" i="52"/>
  <c r="I20"/>
  <c r="C15"/>
  <c r="F29"/>
  <c r="I28"/>
  <c r="F31"/>
  <c r="I12" i="6"/>
  <c r="I12" i="52"/>
  <c r="F12"/>
  <c r="A12"/>
  <c r="F10"/>
  <c r="A10"/>
  <c r="C10"/>
  <c r="A15"/>
  <c r="I15"/>
  <c r="C31"/>
  <c r="F14" i="32"/>
  <c r="F20" i="52"/>
  <c r="I26"/>
  <c r="I8" i="6"/>
  <c r="I8" i="52"/>
  <c r="C11" i="6"/>
  <c r="C11" i="52"/>
  <c r="C13" i="41"/>
  <c r="C13" i="52"/>
  <c r="C9" i="41"/>
  <c r="C9" i="52"/>
  <c r="A9"/>
  <c r="I9"/>
  <c r="A13"/>
  <c r="I13"/>
  <c r="I24" i="32"/>
  <c r="C10" i="41"/>
  <c r="I24" i="52"/>
  <c r="I30"/>
  <c r="E10"/>
  <c r="E15"/>
  <c r="E22"/>
  <c r="F19"/>
  <c r="F30"/>
  <c r="F11"/>
  <c r="F11" i="6"/>
  <c r="F21" i="52"/>
  <c r="F27"/>
  <c r="F15"/>
  <c r="F15" i="6"/>
  <c r="F13" i="52"/>
  <c r="F13" i="6"/>
  <c r="F9" i="52"/>
  <c r="F9" i="6"/>
  <c r="E27"/>
  <c r="E27" i="52"/>
  <c r="E25" i="6"/>
  <c r="E25" i="52"/>
  <c r="E13" i="6"/>
  <c r="E13" i="52"/>
  <c r="C17"/>
  <c r="E29" i="6"/>
  <c r="E29" i="52"/>
  <c r="E17" i="6"/>
  <c r="E17" i="52"/>
  <c r="E23" i="41"/>
  <c r="E23" i="52"/>
  <c r="E30" i="6"/>
  <c r="E30" i="52"/>
  <c r="F17"/>
  <c r="I17"/>
  <c r="A17"/>
  <c r="E31" i="6"/>
  <c r="E31" i="52"/>
  <c r="E16" i="41"/>
  <c r="E16" i="52"/>
  <c r="E14" i="32"/>
  <c r="E14" i="52"/>
  <c r="E19" i="6"/>
  <c r="E19" i="52"/>
  <c r="E9" i="6"/>
  <c r="E9" i="52"/>
  <c r="F16"/>
  <c r="A16"/>
  <c r="I16"/>
  <c r="F30" i="32"/>
  <c r="I27"/>
  <c r="F27"/>
  <c r="F20"/>
  <c r="I11"/>
  <c r="E20"/>
  <c r="E11" i="41"/>
  <c r="C15"/>
  <c r="G15" i="18"/>
  <c r="U31"/>
  <c r="G18"/>
  <c r="G19" s="1"/>
  <c r="G21"/>
  <c r="G30" s="1"/>
  <c r="I29" i="32"/>
  <c r="A29"/>
  <c r="C23"/>
  <c r="A23"/>
  <c r="F16"/>
  <c r="A16"/>
  <c r="F21"/>
  <c r="A21"/>
  <c r="F28"/>
  <c r="A28"/>
  <c r="F15"/>
  <c r="A15"/>
  <c r="F17"/>
  <c r="A17"/>
  <c r="E30"/>
  <c r="F26"/>
  <c r="C22"/>
  <c r="I23"/>
  <c r="I21"/>
  <c r="C19" i="41"/>
  <c r="C25"/>
  <c r="I28" i="32"/>
  <c r="C11"/>
  <c r="F11"/>
  <c r="I25"/>
  <c r="C27" i="6"/>
  <c r="C27" i="41"/>
  <c r="F8" i="32"/>
  <c r="E19" i="41"/>
  <c r="A19"/>
  <c r="E24"/>
  <c r="A24"/>
  <c r="A22"/>
  <c r="C22"/>
  <c r="E15"/>
  <c r="A15"/>
  <c r="E18"/>
  <c r="A18"/>
  <c r="C29" i="6"/>
  <c r="C29" i="41"/>
  <c r="E27"/>
  <c r="A27"/>
  <c r="E25"/>
  <c r="A25"/>
  <c r="I30" i="32"/>
  <c r="E12" i="41"/>
  <c r="E30"/>
  <c r="I15" i="32"/>
  <c r="E25"/>
  <c r="I19"/>
  <c r="E15"/>
  <c r="E22" i="41"/>
  <c r="C21"/>
  <c r="F22" i="32"/>
  <c r="F25"/>
  <c r="F18"/>
  <c r="C11" i="41"/>
  <c r="E17"/>
  <c r="C17" i="6"/>
  <c r="C17" i="41"/>
  <c r="E29"/>
  <c r="A29"/>
  <c r="E26"/>
  <c r="A26"/>
  <c r="E14"/>
  <c r="A14"/>
  <c r="E28"/>
  <c r="A28"/>
  <c r="I8" i="32"/>
  <c r="I26"/>
  <c r="E31" i="41"/>
  <c r="E13"/>
  <c r="E9" i="32"/>
  <c r="E9" i="41"/>
  <c r="E11" i="32"/>
  <c r="E11" i="6"/>
  <c r="E21" i="32"/>
  <c r="E21" i="41"/>
  <c r="E10" i="32"/>
  <c r="E10" i="41"/>
  <c r="E23" i="32"/>
  <c r="E23" i="6"/>
  <c r="E20"/>
  <c r="E20" i="41"/>
  <c r="E8" i="32"/>
  <c r="E8" i="41"/>
  <c r="I17" i="32"/>
  <c r="F19"/>
  <c r="E21" i="6"/>
  <c r="F29" i="32"/>
  <c r="E19"/>
  <c r="I12"/>
  <c r="F12"/>
  <c r="E27"/>
  <c r="C29"/>
  <c r="C17"/>
  <c r="E16"/>
  <c r="E17"/>
  <c r="E29"/>
  <c r="E16" i="6"/>
  <c r="E14"/>
  <c r="E12" i="32"/>
  <c r="I22" i="6"/>
  <c r="I22" i="32"/>
  <c r="E28" i="6"/>
  <c r="E28" i="32"/>
  <c r="I14"/>
  <c r="I14" i="6"/>
  <c r="C25" i="32"/>
  <c r="C25" i="6"/>
  <c r="G29" i="27"/>
  <c r="G17"/>
  <c r="G33"/>
  <c r="G21"/>
  <c r="C21" i="6"/>
  <c r="C21" i="32"/>
  <c r="I13"/>
  <c r="F13"/>
  <c r="I16"/>
  <c r="E8" i="6"/>
  <c r="C10" i="32"/>
  <c r="F10"/>
  <c r="E10" i="6"/>
  <c r="E15"/>
  <c r="E24"/>
  <c r="E24" i="32"/>
  <c r="E22" i="6"/>
  <c r="E22" i="32"/>
  <c r="G25" i="27"/>
  <c r="G13"/>
  <c r="C13" i="6"/>
  <c r="C13" i="32"/>
  <c r="C9" i="6"/>
  <c r="C9" i="32"/>
  <c r="E18" i="6"/>
  <c r="E18" i="32"/>
  <c r="I10" i="6"/>
  <c r="I10" i="32"/>
  <c r="E26"/>
  <c r="E26" i="6"/>
  <c r="C31"/>
  <c r="C31" i="32"/>
  <c r="G19" i="27"/>
  <c r="G31"/>
  <c r="G35"/>
  <c r="G23"/>
  <c r="F9" i="32"/>
  <c r="I9"/>
  <c r="I31"/>
  <c r="F31"/>
  <c r="I18" i="6"/>
  <c r="I18" i="32"/>
  <c r="I20" i="6"/>
  <c r="I20" i="32"/>
  <c r="C15" i="6"/>
  <c r="C15" i="32"/>
  <c r="C19" i="6"/>
  <c r="C19" i="32"/>
  <c r="E13"/>
  <c r="E31"/>
  <c r="F23"/>
  <c r="C27"/>
  <c r="R10" i="23"/>
  <c r="Y9"/>
  <c r="E12" i="6" l="1"/>
  <c r="C18" i="41"/>
  <c r="C18" i="52"/>
  <c r="C8" i="41"/>
  <c r="C8" i="52"/>
  <c r="C26" i="41"/>
  <c r="C26" i="52"/>
  <c r="C12" i="41"/>
  <c r="C12" i="52"/>
  <c r="C30" i="41"/>
  <c r="C30" i="52"/>
  <c r="C20" i="41"/>
  <c r="C20" i="52"/>
  <c r="C14" i="41"/>
  <c r="C14" i="52"/>
  <c r="C24" i="41"/>
  <c r="C24" i="52"/>
  <c r="C16" i="41"/>
  <c r="C16" i="52"/>
  <c r="C28" i="41"/>
  <c r="C28" i="52"/>
  <c r="Y25" i="18"/>
  <c r="Z25" s="1"/>
  <c r="Y26"/>
  <c r="Z26" s="1"/>
  <c r="Y31"/>
  <c r="Y22"/>
  <c r="Z22" s="1"/>
  <c r="U8" s="1"/>
  <c r="Y24"/>
  <c r="Z24" s="1"/>
  <c r="U10" s="1"/>
  <c r="Y23"/>
  <c r="Z23" s="1"/>
  <c r="U9" s="1"/>
  <c r="B37" i="35" s="1"/>
  <c r="Y29" i="18"/>
  <c r="Z29" s="1"/>
  <c r="Y20"/>
  <c r="Z20" s="1"/>
  <c r="U6" s="1"/>
  <c r="Y27"/>
  <c r="Z27" s="1"/>
  <c r="Y28"/>
  <c r="Z28" s="1"/>
  <c r="Y21"/>
  <c r="Z21" s="1"/>
  <c r="U7" s="1"/>
  <c r="U14"/>
  <c r="AQ21" i="27"/>
  <c r="U11" i="18"/>
  <c r="AQ15" i="27"/>
  <c r="B34" i="35"/>
  <c r="AQ13" i="27"/>
  <c r="AQ16"/>
  <c r="AQ14"/>
  <c r="B33" i="24"/>
  <c r="D41" s="1"/>
  <c r="C12" i="6"/>
  <c r="C12" i="32"/>
  <c r="C18" i="6"/>
  <c r="C18" i="32"/>
  <c r="C8" i="6"/>
  <c r="C8" i="32"/>
  <c r="C24" i="6"/>
  <c r="C24" i="32"/>
  <c r="C14" i="6"/>
  <c r="C14" i="32"/>
  <c r="C26" i="6"/>
  <c r="C26" i="32"/>
  <c r="C28" i="6"/>
  <c r="C28" i="32"/>
  <c r="C30" i="6"/>
  <c r="C30" i="32"/>
  <c r="C20" i="6"/>
  <c r="C20" i="32"/>
  <c r="C16" i="6"/>
  <c r="C16" i="32"/>
  <c r="Y10" i="23"/>
  <c r="R11"/>
  <c r="Y11" s="1"/>
  <c r="B41" i="24" l="1"/>
  <c r="B43" s="1"/>
  <c r="D43"/>
  <c r="AQ18" i="27"/>
  <c r="B36" i="35"/>
  <c r="U12" i="18"/>
  <c r="AQ17" i="27"/>
  <c r="AQ22"/>
  <c r="AP22" s="1"/>
  <c r="U15" i="18"/>
  <c r="AQ24" i="27"/>
  <c r="AQ23"/>
  <c r="B38" i="35"/>
  <c r="U13" i="18"/>
  <c r="B35" i="35"/>
  <c r="AQ20" i="27"/>
  <c r="AQ19"/>
  <c r="V6" i="18"/>
  <c r="AQ25" i="27"/>
  <c r="AP25" s="1"/>
  <c r="AP13"/>
  <c r="AQ26"/>
  <c r="AP26" s="1"/>
  <c r="AP14"/>
  <c r="AP15"/>
  <c r="AQ27"/>
  <c r="AP27" s="1"/>
  <c r="AQ33"/>
  <c r="AP33" s="1"/>
  <c r="AP21"/>
  <c r="AQ28"/>
  <c r="AP28" s="1"/>
  <c r="AP16"/>
  <c r="G12" i="18"/>
  <c r="G13" s="1"/>
  <c r="D21"/>
  <c r="D19"/>
  <c r="D17"/>
  <c r="D15"/>
  <c r="D13"/>
  <c r="C11"/>
  <c r="D11" s="1"/>
  <c r="AQ34" i="27" l="1"/>
  <c r="AP34" s="1"/>
  <c r="AP24"/>
  <c r="AQ36"/>
  <c r="AP36" s="1"/>
  <c r="AQ31"/>
  <c r="AP31" s="1"/>
  <c r="AP19"/>
  <c r="AP18"/>
  <c r="AQ30"/>
  <c r="AP30" s="1"/>
  <c r="V11" i="18"/>
  <c r="AQ32" i="27"/>
  <c r="AP32" s="1"/>
  <c r="AP20"/>
  <c r="AP23"/>
  <c r="AQ35"/>
  <c r="AP35" s="1"/>
  <c r="AP17"/>
  <c r="AQ29"/>
  <c r="AP29" s="1"/>
  <c r="D23" i="18"/>
  <c r="D27" s="1"/>
  <c r="B2" i="6" l="1"/>
  <c r="F82" i="18" l="1"/>
  <c r="G82" s="1"/>
  <c r="I82" s="1"/>
  <c r="F81"/>
  <c r="G81" s="1"/>
  <c r="I81" s="1"/>
  <c r="L80"/>
  <c r="O80" s="1"/>
  <c r="F80"/>
  <c r="G80" s="1"/>
  <c r="I80" s="1"/>
  <c r="G68"/>
  <c r="F68"/>
  <c r="E68"/>
  <c r="H65"/>
  <c r="I65" s="1"/>
  <c r="H64"/>
  <c r="I64" s="1"/>
  <c r="H62"/>
  <c r="I62" s="1"/>
  <c r="H61"/>
  <c r="I61" s="1"/>
  <c r="H58"/>
  <c r="I58" s="1"/>
  <c r="H57"/>
  <c r="I57" s="1"/>
  <c r="H56"/>
  <c r="I56" s="1"/>
  <c r="X54"/>
  <c r="Q54"/>
  <c r="H54"/>
  <c r="J54" s="1"/>
  <c r="I53"/>
  <c r="H53"/>
  <c r="J53" s="1"/>
  <c r="H52"/>
  <c r="J52" s="1"/>
  <c r="H47"/>
  <c r="J47" s="1"/>
  <c r="H46"/>
  <c r="J46" s="1"/>
  <c r="Y45"/>
  <c r="H45"/>
  <c r="J45" s="1"/>
  <c r="J73" s="1"/>
  <c r="Y44"/>
  <c r="H44"/>
  <c r="J44" s="1"/>
  <c r="H42"/>
  <c r="H41"/>
  <c r="J41" s="1"/>
  <c r="H40"/>
  <c r="I40" s="1"/>
  <c r="E37"/>
  <c r="K65" s="1"/>
  <c r="K32" i="17"/>
  <c r="H32"/>
  <c r="G32"/>
  <c r="J32" s="1"/>
  <c r="F32"/>
  <c r="E32"/>
  <c r="D32"/>
  <c r="I32" s="1"/>
  <c r="K31"/>
  <c r="H31"/>
  <c r="G31"/>
  <c r="J31" s="1"/>
  <c r="F31"/>
  <c r="E31"/>
  <c r="D31"/>
  <c r="I31" s="1"/>
  <c r="K30"/>
  <c r="H30"/>
  <c r="G30"/>
  <c r="J30" s="1"/>
  <c r="F30"/>
  <c r="E30"/>
  <c r="D30"/>
  <c r="I30" s="1"/>
  <c r="K29"/>
  <c r="H29"/>
  <c r="G29"/>
  <c r="J29" s="1"/>
  <c r="F29"/>
  <c r="E29"/>
  <c r="D29"/>
  <c r="I29" s="1"/>
  <c r="K28"/>
  <c r="H28"/>
  <c r="G28"/>
  <c r="J28" s="1"/>
  <c r="F28"/>
  <c r="E28"/>
  <c r="D28"/>
  <c r="I28" s="1"/>
  <c r="K27"/>
  <c r="H27"/>
  <c r="G27"/>
  <c r="J27" s="1"/>
  <c r="F27"/>
  <c r="E27"/>
  <c r="D27"/>
  <c r="I27" s="1"/>
  <c r="K26"/>
  <c r="H26"/>
  <c r="G26"/>
  <c r="J26" s="1"/>
  <c r="F26"/>
  <c r="E26"/>
  <c r="D26"/>
  <c r="I26" s="1"/>
  <c r="K25"/>
  <c r="H25"/>
  <c r="G25"/>
  <c r="J25" s="1"/>
  <c r="F25"/>
  <c r="E25"/>
  <c r="D25"/>
  <c r="I25" s="1"/>
  <c r="K24"/>
  <c r="H24"/>
  <c r="G24"/>
  <c r="J24" s="1"/>
  <c r="F24"/>
  <c r="E24"/>
  <c r="D24"/>
  <c r="I24" s="1"/>
  <c r="K23"/>
  <c r="H23"/>
  <c r="G23"/>
  <c r="J23" s="1"/>
  <c r="F23"/>
  <c r="E23"/>
  <c r="D23"/>
  <c r="I23" s="1"/>
  <c r="K22"/>
  <c r="H22"/>
  <c r="G22"/>
  <c r="J22" s="1"/>
  <c r="F22"/>
  <c r="E22"/>
  <c r="D22"/>
  <c r="I22" s="1"/>
  <c r="K21"/>
  <c r="H21"/>
  <c r="G21"/>
  <c r="J21" s="1"/>
  <c r="F21"/>
  <c r="E21"/>
  <c r="D21"/>
  <c r="I21" s="1"/>
  <c r="K20"/>
  <c r="H20"/>
  <c r="G20"/>
  <c r="J20" s="1"/>
  <c r="F20"/>
  <c r="E20"/>
  <c r="D20"/>
  <c r="I20" s="1"/>
  <c r="K19"/>
  <c r="H19"/>
  <c r="G19"/>
  <c r="J19" s="1"/>
  <c r="F19"/>
  <c r="E19"/>
  <c r="D19"/>
  <c r="I19" s="1"/>
  <c r="K18"/>
  <c r="H18"/>
  <c r="G18"/>
  <c r="J18" s="1"/>
  <c r="F18"/>
  <c r="E18"/>
  <c r="D18"/>
  <c r="I18" s="1"/>
  <c r="K17"/>
  <c r="H17"/>
  <c r="G17"/>
  <c r="J17" s="1"/>
  <c r="F17"/>
  <c r="E17"/>
  <c r="D17"/>
  <c r="I17" s="1"/>
  <c r="K16"/>
  <c r="H16"/>
  <c r="G16"/>
  <c r="J16" s="1"/>
  <c r="F16"/>
  <c r="E16"/>
  <c r="D16"/>
  <c r="I16" s="1"/>
  <c r="K15"/>
  <c r="H15"/>
  <c r="G15"/>
  <c r="J15" s="1"/>
  <c r="F15"/>
  <c r="E15"/>
  <c r="D15"/>
  <c r="I15" s="1"/>
  <c r="H14"/>
  <c r="G14"/>
  <c r="F14"/>
  <c r="E14"/>
  <c r="D14"/>
  <c r="I14" s="1"/>
  <c r="K13"/>
  <c r="H13"/>
  <c r="G13"/>
  <c r="J13" s="1"/>
  <c r="F13"/>
  <c r="E13"/>
  <c r="D13"/>
  <c r="I13" s="1"/>
  <c r="K12"/>
  <c r="H12"/>
  <c r="G12"/>
  <c r="J12" s="1"/>
  <c r="F12"/>
  <c r="E12"/>
  <c r="D12"/>
  <c r="I12" s="1"/>
  <c r="K11"/>
  <c r="H11"/>
  <c r="G11"/>
  <c r="J11" s="1"/>
  <c r="F11"/>
  <c r="E11"/>
  <c r="D11"/>
  <c r="I11" s="1"/>
  <c r="K10"/>
  <c r="H10"/>
  <c r="G10"/>
  <c r="F10"/>
  <c r="E10"/>
  <c r="D10"/>
  <c r="H9"/>
  <c r="G9"/>
  <c r="J9" s="1"/>
  <c r="F9"/>
  <c r="I9" s="1"/>
  <c r="E9"/>
  <c r="D9"/>
  <c r="K9" s="1"/>
  <c r="H8"/>
  <c r="G8"/>
  <c r="F8"/>
  <c r="E8"/>
  <c r="D8"/>
  <c r="K8" s="1"/>
  <c r="K7"/>
  <c r="H7"/>
  <c r="G7"/>
  <c r="J7" s="1"/>
  <c r="F7"/>
  <c r="I7" s="1"/>
  <c r="E7"/>
  <c r="D7"/>
  <c r="K6"/>
  <c r="H6"/>
  <c r="G6"/>
  <c r="F6"/>
  <c r="E6"/>
  <c r="D6"/>
  <c r="H5"/>
  <c r="G5"/>
  <c r="J5" s="1"/>
  <c r="F5"/>
  <c r="I5" s="1"/>
  <c r="E5"/>
  <c r="D5"/>
  <c r="K5" s="1"/>
  <c r="F20" i="12"/>
  <c r="E20"/>
  <c r="M205" i="11"/>
  <c r="M204"/>
  <c r="M203"/>
  <c r="M202"/>
  <c r="M201"/>
  <c r="M200"/>
  <c r="M199"/>
  <c r="M198"/>
  <c r="M206" s="1"/>
  <c r="M197"/>
  <c r="O162"/>
  <c r="M162"/>
  <c r="O161"/>
  <c r="M161"/>
  <c r="O160"/>
  <c r="O163" s="1"/>
  <c r="M160"/>
  <c r="M163" s="1"/>
  <c r="M127"/>
  <c r="M126"/>
  <c r="M125"/>
  <c r="M64"/>
  <c r="L64"/>
  <c r="K64"/>
  <c r="K46"/>
  <c r="Q45"/>
  <c r="P45"/>
  <c r="N45"/>
  <c r="R45" s="1"/>
  <c r="M45"/>
  <c r="P44"/>
  <c r="Q44" s="1"/>
  <c r="R44" s="1"/>
  <c r="N44"/>
  <c r="M44"/>
  <c r="Q43"/>
  <c r="R43" s="1"/>
  <c r="P43"/>
  <c r="N43"/>
  <c r="M43"/>
  <c r="Q42"/>
  <c r="P42"/>
  <c r="M42"/>
  <c r="N42" s="1"/>
  <c r="R42" s="1"/>
  <c r="Q41"/>
  <c r="P41"/>
  <c r="N41"/>
  <c r="R41" s="1"/>
  <c r="M41"/>
  <c r="P40"/>
  <c r="Q40" s="1"/>
  <c r="N40"/>
  <c r="N46" s="1"/>
  <c r="M40"/>
  <c r="K34"/>
  <c r="N34" s="1"/>
  <c r="Q33"/>
  <c r="O33"/>
  <c r="N33"/>
  <c r="M33"/>
  <c r="L33"/>
  <c r="M32"/>
  <c r="L32"/>
  <c r="L31"/>
  <c r="M31" s="1"/>
  <c r="M34" s="1"/>
  <c r="N30"/>
  <c r="M30"/>
  <c r="L30"/>
  <c r="N28"/>
  <c r="Q24"/>
  <c r="S24" s="1"/>
  <c r="P24"/>
  <c r="O24"/>
  <c r="M24"/>
  <c r="K24"/>
  <c r="R22"/>
  <c r="Q22"/>
  <c r="S22" s="1"/>
  <c r="U22" s="1"/>
  <c r="O22"/>
  <c r="N22"/>
  <c r="S21"/>
  <c r="U21" s="1"/>
  <c r="R21"/>
  <c r="Q21"/>
  <c r="O21"/>
  <c r="N21"/>
  <c r="R19"/>
  <c r="Q19"/>
  <c r="S19" s="1"/>
  <c r="U19" s="1"/>
  <c r="O19"/>
  <c r="N19"/>
  <c r="S18"/>
  <c r="U18" s="1"/>
  <c r="R18"/>
  <c r="Q18"/>
  <c r="O18"/>
  <c r="N18"/>
  <c r="R17"/>
  <c r="Q17"/>
  <c r="S17" s="1"/>
  <c r="U17" s="1"/>
  <c r="O17"/>
  <c r="N17"/>
  <c r="S16"/>
  <c r="U16" s="1"/>
  <c r="R16"/>
  <c r="Q16"/>
  <c r="O16"/>
  <c r="N16"/>
  <c r="R15"/>
  <c r="Q15"/>
  <c r="S15" s="1"/>
  <c r="U15" s="1"/>
  <c r="O15"/>
  <c r="N15"/>
  <c r="S14"/>
  <c r="U14" s="1"/>
  <c r="R14"/>
  <c r="Q14"/>
  <c r="O14"/>
  <c r="N14"/>
  <c r="R12"/>
  <c r="Q12"/>
  <c r="S12" s="1"/>
  <c r="U12" s="1"/>
  <c r="O12"/>
  <c r="N12"/>
  <c r="S11"/>
  <c r="U11" s="1"/>
  <c r="R11"/>
  <c r="Q11"/>
  <c r="O11"/>
  <c r="N11"/>
  <c r="R10"/>
  <c r="Q10"/>
  <c r="S10" s="1"/>
  <c r="U10" s="1"/>
  <c r="O10"/>
  <c r="N10"/>
  <c r="S9"/>
  <c r="U9" s="1"/>
  <c r="R9"/>
  <c r="R24" s="1"/>
  <c r="Q9"/>
  <c r="O9"/>
  <c r="N9"/>
  <c r="K58" i="18" l="1"/>
  <c r="J57"/>
  <c r="J71" s="1"/>
  <c r="J61"/>
  <c r="J64"/>
  <c r="J58"/>
  <c r="K61"/>
  <c r="J65"/>
  <c r="J40"/>
  <c r="J70" s="1"/>
  <c r="K56"/>
  <c r="K62"/>
  <c r="K42"/>
  <c r="I47"/>
  <c r="J56"/>
  <c r="K57"/>
  <c r="J62"/>
  <c r="K64"/>
  <c r="K14" i="17"/>
  <c r="J14"/>
  <c r="H68" i="18"/>
  <c r="K41"/>
  <c r="I42"/>
  <c r="I44"/>
  <c r="K45"/>
  <c r="M80"/>
  <c r="K44"/>
  <c r="K40"/>
  <c r="I41"/>
  <c r="J42"/>
  <c r="I45"/>
  <c r="I73" s="1"/>
  <c r="I46"/>
  <c r="I71" s="1"/>
  <c r="I52"/>
  <c r="I54"/>
  <c r="I72" s="1"/>
  <c r="J72"/>
  <c r="I83"/>
  <c r="K46"/>
  <c r="K47"/>
  <c r="K52"/>
  <c r="K53"/>
  <c r="K54"/>
  <c r="J6" i="17"/>
  <c r="J8"/>
  <c r="J10"/>
  <c r="I6"/>
  <c r="I8"/>
  <c r="I10"/>
  <c r="Q46" i="11"/>
  <c r="R46" s="1"/>
  <c r="R40"/>
  <c r="U24"/>
  <c r="N31"/>
  <c r="N32"/>
  <c r="M43" i="18" l="1"/>
  <c r="N43" s="1"/>
  <c r="K68"/>
  <c r="I70"/>
  <c r="J68"/>
  <c r="I74"/>
  <c r="J74"/>
  <c r="I68"/>
  <c r="Q47" i="11"/>
  <c r="F18" i="35" l="1"/>
  <c r="G18" s="1"/>
  <c r="H18" s="1"/>
  <c r="I18" s="1"/>
  <c r="J18" s="1"/>
  <c r="K18" s="1"/>
  <c r="L18" s="1"/>
  <c r="M18" s="1"/>
  <c r="N18" s="1"/>
  <c r="O18" s="1"/>
  <c r="P18" s="1"/>
  <c r="Q18" s="1"/>
  <c r="R18" s="1"/>
  <c r="S18" s="1"/>
  <c r="T18" s="1"/>
  <c r="U18" s="1"/>
  <c r="V18" s="1"/>
  <c r="W18" s="1"/>
  <c r="X18" s="1"/>
  <c r="A39" i="36" l="1"/>
  <c r="A22" i="35"/>
  <c r="A40" i="36"/>
  <c r="A31"/>
  <c r="B16"/>
  <c r="A29"/>
  <c r="A25" i="35"/>
  <c r="B134"/>
  <c r="A38" i="36"/>
  <c r="A28"/>
  <c r="A24" i="35"/>
  <c r="A42" i="36"/>
  <c r="A26" i="35"/>
  <c r="A41" i="36"/>
  <c r="A30"/>
  <c r="A32"/>
  <c r="A23" i="35"/>
  <c r="U23" l="1"/>
  <c r="U35" s="1"/>
  <c r="U46" s="1"/>
  <c r="S23"/>
  <c r="S35" s="1"/>
  <c r="S46" s="1"/>
  <c r="I23"/>
  <c r="I35" s="1"/>
  <c r="I46" s="1"/>
  <c r="Q23"/>
  <c r="Q35" s="1"/>
  <c r="Q46" s="1"/>
  <c r="L23"/>
  <c r="L35" s="1"/>
  <c r="L46" s="1"/>
  <c r="G23"/>
  <c r="G35" s="1"/>
  <c r="G46" s="1"/>
  <c r="K23"/>
  <c r="K35" s="1"/>
  <c r="K46" s="1"/>
  <c r="H23"/>
  <c r="H35" s="1"/>
  <c r="H46" s="1"/>
  <c r="E23"/>
  <c r="F23"/>
  <c r="F35" s="1"/>
  <c r="F46" s="1"/>
  <c r="N23"/>
  <c r="N35" s="1"/>
  <c r="N46" s="1"/>
  <c r="W23"/>
  <c r="W35" s="1"/>
  <c r="W46" s="1"/>
  <c r="M23"/>
  <c r="M35" s="1"/>
  <c r="M46" s="1"/>
  <c r="J23"/>
  <c r="J35" s="1"/>
  <c r="J46" s="1"/>
  <c r="P23"/>
  <c r="P35" s="1"/>
  <c r="P46" s="1"/>
  <c r="X23"/>
  <c r="X35" s="1"/>
  <c r="X46" s="1"/>
  <c r="T23"/>
  <c r="T35" s="1"/>
  <c r="T46" s="1"/>
  <c r="V23"/>
  <c r="V35" s="1"/>
  <c r="V46" s="1"/>
  <c r="R23"/>
  <c r="R35" s="1"/>
  <c r="R46" s="1"/>
  <c r="O23"/>
  <c r="O35" s="1"/>
  <c r="O46" s="1"/>
  <c r="W22"/>
  <c r="J22"/>
  <c r="I22"/>
  <c r="T22"/>
  <c r="O22"/>
  <c r="N22"/>
  <c r="G22"/>
  <c r="F22"/>
  <c r="M22"/>
  <c r="L22"/>
  <c r="R22"/>
  <c r="U22"/>
  <c r="K22"/>
  <c r="S22"/>
  <c r="E22"/>
  <c r="V22"/>
  <c r="H22"/>
  <c r="P22"/>
  <c r="X22"/>
  <c r="Q22"/>
  <c r="F24"/>
  <c r="F36" s="1"/>
  <c r="F47" s="1"/>
  <c r="R24"/>
  <c r="R36" s="1"/>
  <c r="R47" s="1"/>
  <c r="G24"/>
  <c r="G36" s="1"/>
  <c r="G47" s="1"/>
  <c r="K24"/>
  <c r="K36" s="1"/>
  <c r="K47" s="1"/>
  <c r="N24"/>
  <c r="N36" s="1"/>
  <c r="N47" s="1"/>
  <c r="Q24"/>
  <c r="Q36" s="1"/>
  <c r="Q47" s="1"/>
  <c r="L24"/>
  <c r="L36" s="1"/>
  <c r="L47" s="1"/>
  <c r="I24"/>
  <c r="I36" s="1"/>
  <c r="I47" s="1"/>
  <c r="X24"/>
  <c r="X36" s="1"/>
  <c r="X47" s="1"/>
  <c r="P24"/>
  <c r="P36" s="1"/>
  <c r="P47" s="1"/>
  <c r="S24"/>
  <c r="S36" s="1"/>
  <c r="S47" s="1"/>
  <c r="M24"/>
  <c r="M36" s="1"/>
  <c r="M47" s="1"/>
  <c r="H24"/>
  <c r="H36" s="1"/>
  <c r="H47" s="1"/>
  <c r="J24"/>
  <c r="J36" s="1"/>
  <c r="J47" s="1"/>
  <c r="W24"/>
  <c r="W36" s="1"/>
  <c r="W47" s="1"/>
  <c r="E24"/>
  <c r="V24"/>
  <c r="V36" s="1"/>
  <c r="V47" s="1"/>
  <c r="O24"/>
  <c r="O36" s="1"/>
  <c r="O47" s="1"/>
  <c r="U24"/>
  <c r="U36" s="1"/>
  <c r="U47" s="1"/>
  <c r="T24"/>
  <c r="T36" s="1"/>
  <c r="T47" s="1"/>
  <c r="N25"/>
  <c r="N37" s="1"/>
  <c r="N48" s="1"/>
  <c r="U25"/>
  <c r="U37" s="1"/>
  <c r="U48" s="1"/>
  <c r="O25"/>
  <c r="O37" s="1"/>
  <c r="O48" s="1"/>
  <c r="I25"/>
  <c r="I37" s="1"/>
  <c r="I48" s="1"/>
  <c r="V25"/>
  <c r="V37" s="1"/>
  <c r="V48" s="1"/>
  <c r="L25"/>
  <c r="L37" s="1"/>
  <c r="L48" s="1"/>
  <c r="H25"/>
  <c r="H37" s="1"/>
  <c r="H48" s="1"/>
  <c r="X25"/>
  <c r="X37" s="1"/>
  <c r="X48" s="1"/>
  <c r="K25"/>
  <c r="K37" s="1"/>
  <c r="K48" s="1"/>
  <c r="T25"/>
  <c r="T37" s="1"/>
  <c r="T48" s="1"/>
  <c r="W25"/>
  <c r="W37" s="1"/>
  <c r="W48" s="1"/>
  <c r="F25"/>
  <c r="F37" s="1"/>
  <c r="F48" s="1"/>
  <c r="R25"/>
  <c r="R37" s="1"/>
  <c r="R48" s="1"/>
  <c r="Q25"/>
  <c r="Q37" s="1"/>
  <c r="Q48" s="1"/>
  <c r="S25"/>
  <c r="S37" s="1"/>
  <c r="S48" s="1"/>
  <c r="G25"/>
  <c r="G37" s="1"/>
  <c r="G48" s="1"/>
  <c r="M25"/>
  <c r="M37" s="1"/>
  <c r="M48" s="1"/>
  <c r="E25"/>
  <c r="J25"/>
  <c r="J37" s="1"/>
  <c r="J48" s="1"/>
  <c r="P25"/>
  <c r="P37" s="1"/>
  <c r="P48" s="1"/>
  <c r="O26"/>
  <c r="O38" s="1"/>
  <c r="O49" s="1"/>
  <c r="F26"/>
  <c r="F38" s="1"/>
  <c r="F49" s="1"/>
  <c r="N26"/>
  <c r="N38" s="1"/>
  <c r="N49" s="1"/>
  <c r="G26"/>
  <c r="G38" s="1"/>
  <c r="G49" s="1"/>
  <c r="V26"/>
  <c r="V38" s="1"/>
  <c r="V49" s="1"/>
  <c r="J26"/>
  <c r="J38" s="1"/>
  <c r="J49" s="1"/>
  <c r="K26"/>
  <c r="K38" s="1"/>
  <c r="K49" s="1"/>
  <c r="T26"/>
  <c r="T38" s="1"/>
  <c r="T49" s="1"/>
  <c r="R26"/>
  <c r="R38" s="1"/>
  <c r="R49" s="1"/>
  <c r="W26"/>
  <c r="W38" s="1"/>
  <c r="W49" s="1"/>
  <c r="L26"/>
  <c r="L38" s="1"/>
  <c r="L49" s="1"/>
  <c r="E26"/>
  <c r="I26"/>
  <c r="I38" s="1"/>
  <c r="I49" s="1"/>
  <c r="M26"/>
  <c r="M38" s="1"/>
  <c r="M49" s="1"/>
  <c r="P26"/>
  <c r="P38" s="1"/>
  <c r="P49" s="1"/>
  <c r="Q26"/>
  <c r="Q38" s="1"/>
  <c r="Q49" s="1"/>
  <c r="U26"/>
  <c r="U38" s="1"/>
  <c r="U49" s="1"/>
  <c r="X26"/>
  <c r="X38" s="1"/>
  <c r="X49" s="1"/>
  <c r="S26"/>
  <c r="S38" s="1"/>
  <c r="S49" s="1"/>
  <c r="H26"/>
  <c r="H38" s="1"/>
  <c r="H49" s="1"/>
  <c r="H16" i="36"/>
  <c r="I16"/>
  <c r="E16"/>
  <c r="G16"/>
  <c r="F16"/>
  <c r="E37" i="35" l="1"/>
  <c r="Y25"/>
  <c r="P34"/>
  <c r="P28"/>
  <c r="N34"/>
  <c r="N28"/>
  <c r="E38" i="36"/>
  <c r="E40"/>
  <c r="E39"/>
  <c r="E42"/>
  <c r="E41"/>
  <c r="E28" i="35"/>
  <c r="Y22"/>
  <c r="E34"/>
  <c r="R28"/>
  <c r="R34"/>
  <c r="I34"/>
  <c r="I28"/>
  <c r="F42" i="36"/>
  <c r="F41"/>
  <c r="F39"/>
  <c r="F40"/>
  <c r="F38"/>
  <c r="H38"/>
  <c r="H42"/>
  <c r="H41"/>
  <c r="H40"/>
  <c r="H39"/>
  <c r="H34" i="35"/>
  <c r="H28"/>
  <c r="K34"/>
  <c r="K28"/>
  <c r="M28"/>
  <c r="M34"/>
  <c r="O34"/>
  <c r="O28"/>
  <c r="W28"/>
  <c r="W34"/>
  <c r="Y23"/>
  <c r="E35"/>
  <c r="I38" i="36"/>
  <c r="I40"/>
  <c r="I41"/>
  <c r="I39"/>
  <c r="I42"/>
  <c r="S34" i="35"/>
  <c r="S28"/>
  <c r="L34"/>
  <c r="L28"/>
  <c r="J34"/>
  <c r="J28"/>
  <c r="X28"/>
  <c r="X34"/>
  <c r="G28"/>
  <c r="G34"/>
  <c r="G41" i="36"/>
  <c r="G40"/>
  <c r="G38"/>
  <c r="G39"/>
  <c r="G42"/>
  <c r="E38" i="35"/>
  <c r="Y26"/>
  <c r="E36"/>
  <c r="Y24"/>
  <c r="Q34"/>
  <c r="Q28"/>
  <c r="V34"/>
  <c r="V28"/>
  <c r="U34"/>
  <c r="U28"/>
  <c r="F34"/>
  <c r="F28"/>
  <c r="T28"/>
  <c r="T34"/>
  <c r="F45" l="1"/>
  <c r="F40"/>
  <c r="F135" s="1"/>
  <c r="V40"/>
  <c r="V135" s="1"/>
  <c r="V45"/>
  <c r="L45"/>
  <c r="L40"/>
  <c r="L135" s="1"/>
  <c r="I44" i="36"/>
  <c r="O45" i="35"/>
  <c r="O40"/>
  <c r="O135" s="1"/>
  <c r="K45"/>
  <c r="K40"/>
  <c r="K135" s="1"/>
  <c r="I40"/>
  <c r="I135" s="1"/>
  <c r="I45"/>
  <c r="N40"/>
  <c r="N135" s="1"/>
  <c r="N45"/>
  <c r="Y37"/>
  <c r="E48"/>
  <c r="Y48" s="1"/>
  <c r="X40"/>
  <c r="X135" s="1"/>
  <c r="X45"/>
  <c r="Y34"/>
  <c r="E40"/>
  <c r="E135" s="1"/>
  <c r="E45"/>
  <c r="U45"/>
  <c r="U40"/>
  <c r="U135" s="1"/>
  <c r="Q40"/>
  <c r="Q135" s="1"/>
  <c r="Q45"/>
  <c r="Y38"/>
  <c r="E49"/>
  <c r="Y49" s="1"/>
  <c r="J40"/>
  <c r="J135" s="1"/>
  <c r="J45"/>
  <c r="S45"/>
  <c r="S40"/>
  <c r="S135" s="1"/>
  <c r="H40"/>
  <c r="H135" s="1"/>
  <c r="H45"/>
  <c r="P45"/>
  <c r="P40"/>
  <c r="P135" s="1"/>
  <c r="H44" i="36"/>
  <c r="E44"/>
  <c r="Y36" i="35"/>
  <c r="E47"/>
  <c r="Y47" s="1"/>
  <c r="T45"/>
  <c r="T40"/>
  <c r="T135" s="1"/>
  <c r="G40"/>
  <c r="G135" s="1"/>
  <c r="G45"/>
  <c r="E46"/>
  <c r="Y46" s="1"/>
  <c r="Y35"/>
  <c r="W45"/>
  <c r="W40"/>
  <c r="W135" s="1"/>
  <c r="M40"/>
  <c r="M135" s="1"/>
  <c r="M45"/>
  <c r="R45"/>
  <c r="R40"/>
  <c r="R135" s="1"/>
  <c r="Y28"/>
  <c r="G44" i="36"/>
  <c r="F44"/>
  <c r="G58" i="35" l="1"/>
  <c r="G85"/>
  <c r="G82"/>
  <c r="G71"/>
  <c r="G87"/>
  <c r="G68"/>
  <c r="G63"/>
  <c r="G73"/>
  <c r="G57"/>
  <c r="G94" s="1"/>
  <c r="G64"/>
  <c r="G80"/>
  <c r="G67"/>
  <c r="G86"/>
  <c r="G70"/>
  <c r="G75"/>
  <c r="G60"/>
  <c r="G72"/>
  <c r="G61"/>
  <c r="G59"/>
  <c r="G79"/>
  <c r="G78"/>
  <c r="G84"/>
  <c r="G66"/>
  <c r="G83"/>
  <c r="G65"/>
  <c r="G74"/>
  <c r="G77"/>
  <c r="G62"/>
  <c r="G69"/>
  <c r="G76"/>
  <c r="G81"/>
  <c r="G118" s="1"/>
  <c r="K65"/>
  <c r="K72"/>
  <c r="K60"/>
  <c r="K66"/>
  <c r="K59"/>
  <c r="K82"/>
  <c r="K79"/>
  <c r="K64"/>
  <c r="K62"/>
  <c r="K68"/>
  <c r="K71"/>
  <c r="K87"/>
  <c r="K86"/>
  <c r="K69"/>
  <c r="K84"/>
  <c r="K80"/>
  <c r="K76"/>
  <c r="K85"/>
  <c r="K63"/>
  <c r="K70"/>
  <c r="K58"/>
  <c r="K75"/>
  <c r="K67"/>
  <c r="K57"/>
  <c r="K94" s="1"/>
  <c r="K61"/>
  <c r="K78"/>
  <c r="K83"/>
  <c r="K74"/>
  <c r="K77"/>
  <c r="K114" s="1"/>
  <c r="K73"/>
  <c r="K110" s="1"/>
  <c r="K81"/>
  <c r="F59"/>
  <c r="F58"/>
  <c r="F71"/>
  <c r="F80"/>
  <c r="F70"/>
  <c r="F77"/>
  <c r="F78"/>
  <c r="F67"/>
  <c r="F62"/>
  <c r="F69"/>
  <c r="F79"/>
  <c r="F116" s="1"/>
  <c r="F74"/>
  <c r="F63"/>
  <c r="F100" s="1"/>
  <c r="F60"/>
  <c r="F81"/>
  <c r="F68"/>
  <c r="F105" s="1"/>
  <c r="F85"/>
  <c r="F66"/>
  <c r="F57"/>
  <c r="F94" s="1"/>
  <c r="F73"/>
  <c r="F76"/>
  <c r="F72"/>
  <c r="F82"/>
  <c r="F119" s="1"/>
  <c r="F84"/>
  <c r="F83"/>
  <c r="F65"/>
  <c r="F87"/>
  <c r="F86"/>
  <c r="F75"/>
  <c r="F61"/>
  <c r="F98" s="1"/>
  <c r="F64"/>
  <c r="T64"/>
  <c r="T87"/>
  <c r="T71"/>
  <c r="T57"/>
  <c r="T94" s="1"/>
  <c r="T67"/>
  <c r="T69"/>
  <c r="T85"/>
  <c r="T59"/>
  <c r="T58"/>
  <c r="T66"/>
  <c r="T83"/>
  <c r="T86"/>
  <c r="T60"/>
  <c r="T75"/>
  <c r="T81"/>
  <c r="T82"/>
  <c r="T70"/>
  <c r="T76"/>
  <c r="T113" s="1"/>
  <c r="T63"/>
  <c r="T74"/>
  <c r="T61"/>
  <c r="T98" s="1"/>
  <c r="T78"/>
  <c r="T72"/>
  <c r="T109" s="1"/>
  <c r="T65"/>
  <c r="T68"/>
  <c r="T105" s="1"/>
  <c r="T77"/>
  <c r="T114" s="1"/>
  <c r="T79"/>
  <c r="T73"/>
  <c r="T84"/>
  <c r="T80"/>
  <c r="T62"/>
  <c r="P76"/>
  <c r="P62"/>
  <c r="P64"/>
  <c r="P75"/>
  <c r="P63"/>
  <c r="P77"/>
  <c r="P65"/>
  <c r="P61"/>
  <c r="P85"/>
  <c r="P78"/>
  <c r="P81"/>
  <c r="P73"/>
  <c r="P66"/>
  <c r="P72"/>
  <c r="P87"/>
  <c r="P59"/>
  <c r="P60"/>
  <c r="P70"/>
  <c r="P58"/>
  <c r="P83"/>
  <c r="P68"/>
  <c r="P82"/>
  <c r="P69"/>
  <c r="P57"/>
  <c r="P94" s="1"/>
  <c r="P84"/>
  <c r="P80"/>
  <c r="P71"/>
  <c r="P86"/>
  <c r="P74"/>
  <c r="P79"/>
  <c r="P116" s="1"/>
  <c r="P67"/>
  <c r="M62"/>
  <c r="M59"/>
  <c r="M74"/>
  <c r="M87"/>
  <c r="M75"/>
  <c r="M83"/>
  <c r="M60"/>
  <c r="M63"/>
  <c r="M73"/>
  <c r="M69"/>
  <c r="M66"/>
  <c r="M68"/>
  <c r="M80"/>
  <c r="M78"/>
  <c r="M61"/>
  <c r="M98" s="1"/>
  <c r="M86"/>
  <c r="M71"/>
  <c r="M85"/>
  <c r="M58"/>
  <c r="M57"/>
  <c r="M94" s="1"/>
  <c r="M70"/>
  <c r="M67"/>
  <c r="M65"/>
  <c r="M82"/>
  <c r="M81"/>
  <c r="M118" s="1"/>
  <c r="M64"/>
  <c r="M79"/>
  <c r="M76"/>
  <c r="M84"/>
  <c r="M77"/>
  <c r="M72"/>
  <c r="H78"/>
  <c r="H85"/>
  <c r="H57"/>
  <c r="H94" s="1"/>
  <c r="H75"/>
  <c r="H74"/>
  <c r="H87"/>
  <c r="H59"/>
  <c r="H86"/>
  <c r="H60"/>
  <c r="H77"/>
  <c r="H73"/>
  <c r="H81"/>
  <c r="H65"/>
  <c r="H82"/>
  <c r="H83"/>
  <c r="H64"/>
  <c r="H61"/>
  <c r="H98" s="1"/>
  <c r="H63"/>
  <c r="H66"/>
  <c r="H76"/>
  <c r="H113" s="1"/>
  <c r="H62"/>
  <c r="H99" s="1"/>
  <c r="H72"/>
  <c r="H68"/>
  <c r="H84"/>
  <c r="H70"/>
  <c r="H71"/>
  <c r="H58"/>
  <c r="H95" s="1"/>
  <c r="H80"/>
  <c r="H79"/>
  <c r="H116" s="1"/>
  <c r="H69"/>
  <c r="H67"/>
  <c r="H104" s="1"/>
  <c r="J78"/>
  <c r="J73"/>
  <c r="J68"/>
  <c r="J65"/>
  <c r="J74"/>
  <c r="J60"/>
  <c r="J79"/>
  <c r="J62"/>
  <c r="J58"/>
  <c r="J72"/>
  <c r="J86"/>
  <c r="J75"/>
  <c r="J85"/>
  <c r="J82"/>
  <c r="J80"/>
  <c r="J117" s="1"/>
  <c r="J67"/>
  <c r="J63"/>
  <c r="J70"/>
  <c r="J87"/>
  <c r="J76"/>
  <c r="J113" s="1"/>
  <c r="J71"/>
  <c r="J84"/>
  <c r="J83"/>
  <c r="J57"/>
  <c r="J94" s="1"/>
  <c r="J77"/>
  <c r="J81"/>
  <c r="J66"/>
  <c r="J61"/>
  <c r="J69"/>
  <c r="J64"/>
  <c r="J59"/>
  <c r="Q72"/>
  <c r="Q69"/>
  <c r="Q80"/>
  <c r="Q71"/>
  <c r="Q64"/>
  <c r="Q82"/>
  <c r="Q58"/>
  <c r="Q60"/>
  <c r="Q70"/>
  <c r="Q61"/>
  <c r="Q66"/>
  <c r="Q75"/>
  <c r="Q76"/>
  <c r="Q74"/>
  <c r="Q57"/>
  <c r="Q94" s="1"/>
  <c r="Q63"/>
  <c r="Q77"/>
  <c r="Q114" s="1"/>
  <c r="Q59"/>
  <c r="Q79"/>
  <c r="Q84"/>
  <c r="Q67"/>
  <c r="Q68"/>
  <c r="Q65"/>
  <c r="Q86"/>
  <c r="Q62"/>
  <c r="Q73"/>
  <c r="Q85"/>
  <c r="Q87"/>
  <c r="Q124" s="1"/>
  <c r="Q78"/>
  <c r="Q115" s="1"/>
  <c r="Q81"/>
  <c r="Q83"/>
  <c r="E88"/>
  <c r="E85"/>
  <c r="E78"/>
  <c r="E74"/>
  <c r="E81"/>
  <c r="E80"/>
  <c r="E67"/>
  <c r="E63"/>
  <c r="E79"/>
  <c r="E62"/>
  <c r="E72"/>
  <c r="E68"/>
  <c r="E73"/>
  <c r="E82"/>
  <c r="E58"/>
  <c r="E69"/>
  <c r="E106" s="1"/>
  <c r="E71"/>
  <c r="E87"/>
  <c r="E57"/>
  <c r="E94" s="1"/>
  <c r="E84"/>
  <c r="E83"/>
  <c r="E76"/>
  <c r="E86"/>
  <c r="E65"/>
  <c r="E77"/>
  <c r="E70"/>
  <c r="E66"/>
  <c r="E59"/>
  <c r="E61"/>
  <c r="E64"/>
  <c r="E60"/>
  <c r="E75"/>
  <c r="E112" s="1"/>
  <c r="O84"/>
  <c r="O73"/>
  <c r="O81"/>
  <c r="O76"/>
  <c r="O79"/>
  <c r="O80"/>
  <c r="O83"/>
  <c r="O67"/>
  <c r="O82"/>
  <c r="O69"/>
  <c r="O68"/>
  <c r="O85"/>
  <c r="O70"/>
  <c r="O61"/>
  <c r="O77"/>
  <c r="O71"/>
  <c r="O65"/>
  <c r="O66"/>
  <c r="O60"/>
  <c r="O72"/>
  <c r="O75"/>
  <c r="O59"/>
  <c r="O62"/>
  <c r="O74"/>
  <c r="O87"/>
  <c r="O78"/>
  <c r="O86"/>
  <c r="O64"/>
  <c r="O57"/>
  <c r="O94" s="1"/>
  <c r="O63"/>
  <c r="O58"/>
  <c r="L65"/>
  <c r="L60"/>
  <c r="L74"/>
  <c r="L62"/>
  <c r="L76"/>
  <c r="L57"/>
  <c r="L94" s="1"/>
  <c r="L67"/>
  <c r="L85"/>
  <c r="L59"/>
  <c r="L75"/>
  <c r="L61"/>
  <c r="L87"/>
  <c r="L83"/>
  <c r="L68"/>
  <c r="L79"/>
  <c r="L69"/>
  <c r="L64"/>
  <c r="L73"/>
  <c r="L77"/>
  <c r="L81"/>
  <c r="L70"/>
  <c r="L80"/>
  <c r="L63"/>
  <c r="L66"/>
  <c r="L78"/>
  <c r="L86"/>
  <c r="L71"/>
  <c r="L58"/>
  <c r="L82"/>
  <c r="L84"/>
  <c r="L72"/>
  <c r="L109" s="1"/>
  <c r="R77"/>
  <c r="R83"/>
  <c r="R63"/>
  <c r="R82"/>
  <c r="R70"/>
  <c r="R62"/>
  <c r="R71"/>
  <c r="R76"/>
  <c r="R67"/>
  <c r="R78"/>
  <c r="R58"/>
  <c r="R85"/>
  <c r="R69"/>
  <c r="R81"/>
  <c r="R75"/>
  <c r="R74"/>
  <c r="R72"/>
  <c r="R60"/>
  <c r="R84"/>
  <c r="R57"/>
  <c r="R94" s="1"/>
  <c r="R61"/>
  <c r="R68"/>
  <c r="R64"/>
  <c r="R101" s="1"/>
  <c r="R79"/>
  <c r="R66"/>
  <c r="R80"/>
  <c r="R59"/>
  <c r="R96" s="1"/>
  <c r="R87"/>
  <c r="R86"/>
  <c r="R73"/>
  <c r="R65"/>
  <c r="R102" s="1"/>
  <c r="W60"/>
  <c r="W67"/>
  <c r="W82"/>
  <c r="W80"/>
  <c r="W68"/>
  <c r="W65"/>
  <c r="W62"/>
  <c r="W73"/>
  <c r="W59"/>
  <c r="W70"/>
  <c r="W77"/>
  <c r="W84"/>
  <c r="W85"/>
  <c r="W78"/>
  <c r="W57"/>
  <c r="W94" s="1"/>
  <c r="W79"/>
  <c r="W86"/>
  <c r="W123" s="1"/>
  <c r="W81"/>
  <c r="W75"/>
  <c r="W63"/>
  <c r="W74"/>
  <c r="W66"/>
  <c r="W103" s="1"/>
  <c r="W61"/>
  <c r="W71"/>
  <c r="W76"/>
  <c r="W58"/>
  <c r="W87"/>
  <c r="W69"/>
  <c r="W83"/>
  <c r="W64"/>
  <c r="W72"/>
  <c r="S87"/>
  <c r="S83"/>
  <c r="S74"/>
  <c r="S75"/>
  <c r="S65"/>
  <c r="S73"/>
  <c r="S86"/>
  <c r="S78"/>
  <c r="S79"/>
  <c r="S69"/>
  <c r="S80"/>
  <c r="S72"/>
  <c r="S63"/>
  <c r="S61"/>
  <c r="S60"/>
  <c r="S67"/>
  <c r="S68"/>
  <c r="S57"/>
  <c r="S94" s="1"/>
  <c r="S70"/>
  <c r="S77"/>
  <c r="S64"/>
  <c r="S101" s="1"/>
  <c r="S84"/>
  <c r="S121" s="1"/>
  <c r="S71"/>
  <c r="S76"/>
  <c r="S113" s="1"/>
  <c r="S81"/>
  <c r="S62"/>
  <c r="S99" s="1"/>
  <c r="S59"/>
  <c r="S58"/>
  <c r="S66"/>
  <c r="S103" s="1"/>
  <c r="S82"/>
  <c r="S85"/>
  <c r="U68"/>
  <c r="U58"/>
  <c r="U63"/>
  <c r="U84"/>
  <c r="U82"/>
  <c r="U62"/>
  <c r="U86"/>
  <c r="U59"/>
  <c r="U87"/>
  <c r="U66"/>
  <c r="U78"/>
  <c r="U60"/>
  <c r="U97" s="1"/>
  <c r="U61"/>
  <c r="U71"/>
  <c r="U70"/>
  <c r="U79"/>
  <c r="U75"/>
  <c r="U69"/>
  <c r="U76"/>
  <c r="U74"/>
  <c r="U85"/>
  <c r="U80"/>
  <c r="U83"/>
  <c r="U64"/>
  <c r="U65"/>
  <c r="U67"/>
  <c r="U104" s="1"/>
  <c r="U57"/>
  <c r="U94" s="1"/>
  <c r="U72"/>
  <c r="U81"/>
  <c r="U73"/>
  <c r="U77"/>
  <c r="U114" s="1"/>
  <c r="X85"/>
  <c r="X77"/>
  <c r="X83"/>
  <c r="X80"/>
  <c r="X71"/>
  <c r="X59"/>
  <c r="X66"/>
  <c r="X75"/>
  <c r="X82"/>
  <c r="X57"/>
  <c r="X94" s="1"/>
  <c r="X87"/>
  <c r="X60"/>
  <c r="X61"/>
  <c r="X79"/>
  <c r="X73"/>
  <c r="X63"/>
  <c r="X69"/>
  <c r="X76"/>
  <c r="X62"/>
  <c r="X68"/>
  <c r="X58"/>
  <c r="X70"/>
  <c r="X67"/>
  <c r="X104" s="1"/>
  <c r="X74"/>
  <c r="X64"/>
  <c r="X81"/>
  <c r="X84"/>
  <c r="X121" s="1"/>
  <c r="X65"/>
  <c r="X86"/>
  <c r="X123" s="1"/>
  <c r="X78"/>
  <c r="X115" s="1"/>
  <c r="X72"/>
  <c r="N59"/>
  <c r="N72"/>
  <c r="N80"/>
  <c r="N79"/>
  <c r="N86"/>
  <c r="N70"/>
  <c r="N60"/>
  <c r="N65"/>
  <c r="N68"/>
  <c r="N83"/>
  <c r="N66"/>
  <c r="N67"/>
  <c r="N78"/>
  <c r="N69"/>
  <c r="N81"/>
  <c r="N118" s="1"/>
  <c r="N62"/>
  <c r="N63"/>
  <c r="N85"/>
  <c r="N87"/>
  <c r="N71"/>
  <c r="N64"/>
  <c r="N101" s="1"/>
  <c r="N57"/>
  <c r="N94" s="1"/>
  <c r="N61"/>
  <c r="N98" s="1"/>
  <c r="N74"/>
  <c r="N73"/>
  <c r="N76"/>
  <c r="N75"/>
  <c r="N58"/>
  <c r="N84"/>
  <c r="N77"/>
  <c r="N82"/>
  <c r="N119" s="1"/>
  <c r="I82"/>
  <c r="I85"/>
  <c r="I71"/>
  <c r="I64"/>
  <c r="I76"/>
  <c r="I73"/>
  <c r="I70"/>
  <c r="I59"/>
  <c r="I67"/>
  <c r="I66"/>
  <c r="I80"/>
  <c r="I62"/>
  <c r="I72"/>
  <c r="I74"/>
  <c r="I111" s="1"/>
  <c r="I63"/>
  <c r="I79"/>
  <c r="I83"/>
  <c r="I120" s="1"/>
  <c r="I81"/>
  <c r="I69"/>
  <c r="I84"/>
  <c r="I78"/>
  <c r="I75"/>
  <c r="I112" s="1"/>
  <c r="I58"/>
  <c r="I87"/>
  <c r="I65"/>
  <c r="I57"/>
  <c r="I94" s="1"/>
  <c r="I77"/>
  <c r="I68"/>
  <c r="I60"/>
  <c r="I61"/>
  <c r="I86"/>
  <c r="V73"/>
  <c r="V75"/>
  <c r="V76"/>
  <c r="V68"/>
  <c r="V57"/>
  <c r="V94" s="1"/>
  <c r="V80"/>
  <c r="V61"/>
  <c r="V60"/>
  <c r="V77"/>
  <c r="V63"/>
  <c r="V64"/>
  <c r="V85"/>
  <c r="V65"/>
  <c r="V71"/>
  <c r="V69"/>
  <c r="V72"/>
  <c r="V74"/>
  <c r="V111" s="1"/>
  <c r="V79"/>
  <c r="V66"/>
  <c r="V70"/>
  <c r="V58"/>
  <c r="V95" s="1"/>
  <c r="V84"/>
  <c r="V62"/>
  <c r="V99" s="1"/>
  <c r="V59"/>
  <c r="V87"/>
  <c r="V82"/>
  <c r="V86"/>
  <c r="V83"/>
  <c r="V81"/>
  <c r="V67"/>
  <c r="V78"/>
  <c r="O51"/>
  <c r="O88"/>
  <c r="L51"/>
  <c r="L88"/>
  <c r="M51"/>
  <c r="M88"/>
  <c r="M125" s="1"/>
  <c r="H51"/>
  <c r="H88"/>
  <c r="J51"/>
  <c r="J88"/>
  <c r="Q51"/>
  <c r="Q88"/>
  <c r="R51"/>
  <c r="R88"/>
  <c r="W51"/>
  <c r="W88"/>
  <c r="S51"/>
  <c r="S88"/>
  <c r="U51"/>
  <c r="U88"/>
  <c r="X51"/>
  <c r="X88"/>
  <c r="N51"/>
  <c r="N88"/>
  <c r="I51"/>
  <c r="I88"/>
  <c r="I125" s="1"/>
  <c r="V51"/>
  <c r="V88"/>
  <c r="G51"/>
  <c r="G88"/>
  <c r="K51"/>
  <c r="K88"/>
  <c r="F51"/>
  <c r="F88"/>
  <c r="T51"/>
  <c r="T88"/>
  <c r="P51"/>
  <c r="P88"/>
  <c r="P125" s="1"/>
  <c r="G142"/>
  <c r="G143" s="1"/>
  <c r="G137"/>
  <c r="L16" i="36"/>
  <c r="O137" i="35"/>
  <c r="O142"/>
  <c r="O143" s="1"/>
  <c r="T16" i="36"/>
  <c r="R142" i="35"/>
  <c r="R143" s="1"/>
  <c r="R137"/>
  <c r="W16" i="36"/>
  <c r="U142" i="35"/>
  <c r="U143" s="1"/>
  <c r="U137"/>
  <c r="Y135"/>
  <c r="E137"/>
  <c r="E142"/>
  <c r="J16" i="36"/>
  <c r="T137" i="35"/>
  <c r="T142"/>
  <c r="T143" s="1"/>
  <c r="P137"/>
  <c r="P142"/>
  <c r="P143" s="1"/>
  <c r="U16" i="36"/>
  <c r="E51" i="35"/>
  <c r="Y45"/>
  <c r="X142"/>
  <c r="X143" s="1"/>
  <c r="X137"/>
  <c r="N142"/>
  <c r="N143" s="1"/>
  <c r="N137"/>
  <c r="S16" i="36"/>
  <c r="I137" i="35"/>
  <c r="I142"/>
  <c r="I143" s="1"/>
  <c r="N16" i="36"/>
  <c r="V142" i="35"/>
  <c r="V143" s="1"/>
  <c r="V137"/>
  <c r="L137"/>
  <c r="L142"/>
  <c r="L143" s="1"/>
  <c r="Q16" i="36"/>
  <c r="W142" i="35"/>
  <c r="W143" s="1"/>
  <c r="W137"/>
  <c r="S137"/>
  <c r="S142"/>
  <c r="S143" s="1"/>
  <c r="X16" i="36"/>
  <c r="M142" i="35"/>
  <c r="M143" s="1"/>
  <c r="M137"/>
  <c r="R16" i="36"/>
  <c r="H137" i="35"/>
  <c r="H142"/>
  <c r="H143" s="1"/>
  <c r="M16" i="36"/>
  <c r="J142" i="35"/>
  <c r="J143" s="1"/>
  <c r="J137"/>
  <c r="O16" i="36"/>
  <c r="Q142" i="35"/>
  <c r="Q143" s="1"/>
  <c r="Q137"/>
  <c r="V16" i="36"/>
  <c r="Y40" i="35"/>
  <c r="K142"/>
  <c r="K143" s="1"/>
  <c r="K137"/>
  <c r="P16" i="36"/>
  <c r="F137" i="35"/>
  <c r="F142"/>
  <c r="F143" s="1"/>
  <c r="K16" i="36"/>
  <c r="O109" i="35" l="1"/>
  <c r="N114"/>
  <c r="P115"/>
  <c r="L125"/>
  <c r="V123"/>
  <c r="V106"/>
  <c r="V98"/>
  <c r="I118"/>
  <c r="N121"/>
  <c r="N110"/>
  <c r="X102"/>
  <c r="S98"/>
  <c r="W105"/>
  <c r="R124"/>
  <c r="L100"/>
  <c r="O100"/>
  <c r="O115"/>
  <c r="O106"/>
  <c r="Q99"/>
  <c r="Q107"/>
  <c r="J112"/>
  <c r="M104"/>
  <c r="P100"/>
  <c r="T102"/>
  <c r="T96"/>
  <c r="F124"/>
  <c r="F118"/>
  <c r="K122"/>
  <c r="G106"/>
  <c r="G102"/>
  <c r="G123"/>
  <c r="P102"/>
  <c r="J124"/>
  <c r="X125"/>
  <c r="S125"/>
  <c r="J125"/>
  <c r="O125"/>
  <c r="V118"/>
  <c r="M113"/>
  <c r="M100"/>
  <c r="F96"/>
  <c r="K124"/>
  <c r="K103"/>
  <c r="K106"/>
  <c r="I102"/>
  <c r="N104"/>
  <c r="U99"/>
  <c r="S105"/>
  <c r="R121"/>
  <c r="L121"/>
  <c r="L97"/>
  <c r="O112"/>
  <c r="Q123"/>
  <c r="H108"/>
  <c r="F97"/>
  <c r="G120"/>
  <c r="T125"/>
  <c r="Q125"/>
  <c r="I122"/>
  <c r="N100"/>
  <c r="N115"/>
  <c r="N105"/>
  <c r="N123"/>
  <c r="X111"/>
  <c r="X105"/>
  <c r="X100"/>
  <c r="X97"/>
  <c r="X117"/>
  <c r="U120"/>
  <c r="U113"/>
  <c r="U107"/>
  <c r="U123"/>
  <c r="U100"/>
  <c r="S119"/>
  <c r="S106"/>
  <c r="S110"/>
  <c r="W120"/>
  <c r="W113"/>
  <c r="W111"/>
  <c r="W122"/>
  <c r="W96"/>
  <c r="R116"/>
  <c r="R111"/>
  <c r="R122"/>
  <c r="R113"/>
  <c r="R119"/>
  <c r="L108"/>
  <c r="L114"/>
  <c r="L116"/>
  <c r="L98"/>
  <c r="L104"/>
  <c r="L111"/>
  <c r="O96"/>
  <c r="O103"/>
  <c r="O98"/>
  <c r="O117"/>
  <c r="O110"/>
  <c r="E101"/>
  <c r="E107"/>
  <c r="E113"/>
  <c r="E124"/>
  <c r="E119"/>
  <c r="E99"/>
  <c r="E117"/>
  <c r="E122"/>
  <c r="Q104"/>
  <c r="Q113"/>
  <c r="Q101"/>
  <c r="Q109"/>
  <c r="J98"/>
  <c r="J104"/>
  <c r="J102"/>
  <c r="H103"/>
  <c r="H120"/>
  <c r="H110"/>
  <c r="M114"/>
  <c r="M101"/>
  <c r="M122"/>
  <c r="M106"/>
  <c r="M120"/>
  <c r="M96"/>
  <c r="P111"/>
  <c r="P121"/>
  <c r="P105"/>
  <c r="P97"/>
  <c r="P103"/>
  <c r="P113"/>
  <c r="T110"/>
  <c r="T119"/>
  <c r="T123"/>
  <c r="F101"/>
  <c r="F115"/>
  <c r="F108"/>
  <c r="K115"/>
  <c r="K112"/>
  <c r="K105"/>
  <c r="K119"/>
  <c r="K109"/>
  <c r="G115"/>
  <c r="G109"/>
  <c r="V112"/>
  <c r="I97"/>
  <c r="N99"/>
  <c r="U106"/>
  <c r="U103"/>
  <c r="S116"/>
  <c r="W100"/>
  <c r="R100"/>
  <c r="O102"/>
  <c r="J120"/>
  <c r="H100"/>
  <c r="K125"/>
  <c r="H125"/>
  <c r="V115"/>
  <c r="G111"/>
  <c r="S108"/>
  <c r="F125"/>
  <c r="R125"/>
  <c r="V124"/>
  <c r="V102"/>
  <c r="V114"/>
  <c r="V110"/>
  <c r="I124"/>
  <c r="I96"/>
  <c r="I101"/>
  <c r="X107"/>
  <c r="X96"/>
  <c r="U102"/>
  <c r="U122"/>
  <c r="U112"/>
  <c r="U98"/>
  <c r="S109"/>
  <c r="S112"/>
  <c r="W119"/>
  <c r="R110"/>
  <c r="R105"/>
  <c r="R115"/>
  <c r="R99"/>
  <c r="L119"/>
  <c r="L107"/>
  <c r="L96"/>
  <c r="E96"/>
  <c r="E105"/>
  <c r="Q120"/>
  <c r="J101"/>
  <c r="J107"/>
  <c r="J109"/>
  <c r="H102"/>
  <c r="P108"/>
  <c r="P118"/>
  <c r="T106"/>
  <c r="F112"/>
  <c r="F122"/>
  <c r="F107"/>
  <c r="K117"/>
  <c r="K101"/>
  <c r="G114"/>
  <c r="G112"/>
  <c r="G125"/>
  <c r="V104"/>
  <c r="V121"/>
  <c r="V116"/>
  <c r="V108"/>
  <c r="V100"/>
  <c r="I115"/>
  <c r="I109"/>
  <c r="I104"/>
  <c r="N95"/>
  <c r="N111"/>
  <c r="N108"/>
  <c r="X109"/>
  <c r="X99"/>
  <c r="X124"/>
  <c r="X120"/>
  <c r="U110"/>
  <c r="U117"/>
  <c r="S118"/>
  <c r="S124"/>
  <c r="W108"/>
  <c r="W116"/>
  <c r="W110"/>
  <c r="R108"/>
  <c r="L123"/>
  <c r="O124"/>
  <c r="O119"/>
  <c r="O121"/>
  <c r="E98"/>
  <c r="E110"/>
  <c r="E116"/>
  <c r="Q121"/>
  <c r="Q112"/>
  <c r="Q97"/>
  <c r="J96"/>
  <c r="J123"/>
  <c r="J116"/>
  <c r="H119"/>
  <c r="H114"/>
  <c r="H124"/>
  <c r="H122"/>
  <c r="M117"/>
  <c r="M110"/>
  <c r="M112"/>
  <c r="M99"/>
  <c r="P120"/>
  <c r="P110"/>
  <c r="T99"/>
  <c r="T116"/>
  <c r="T122"/>
  <c r="T108"/>
  <c r="F106"/>
  <c r="K98"/>
  <c r="G99"/>
  <c r="V119"/>
  <c r="V117"/>
  <c r="V103"/>
  <c r="V101"/>
  <c r="V113"/>
  <c r="I98"/>
  <c r="I103"/>
  <c r="I110"/>
  <c r="N96"/>
  <c r="X112"/>
  <c r="U115"/>
  <c r="S120"/>
  <c r="W97"/>
  <c r="J99"/>
  <c r="H105"/>
  <c r="H96"/>
  <c r="M115"/>
  <c r="P122"/>
  <c r="T111"/>
  <c r="G124"/>
  <c r="G95"/>
  <c r="V125"/>
  <c r="N125"/>
  <c r="U125"/>
  <c r="W125"/>
  <c r="V120"/>
  <c r="V96"/>
  <c r="V107"/>
  <c r="V109"/>
  <c r="V122"/>
  <c r="V97"/>
  <c r="V105"/>
  <c r="I123"/>
  <c r="I114"/>
  <c r="I95"/>
  <c r="I106"/>
  <c r="I100"/>
  <c r="I117"/>
  <c r="I107"/>
  <c r="I108"/>
  <c r="N113"/>
  <c r="N122"/>
  <c r="N106"/>
  <c r="N120"/>
  <c r="N107"/>
  <c r="N109"/>
  <c r="X101"/>
  <c r="X95"/>
  <c r="X106"/>
  <c r="X98"/>
  <c r="X119"/>
  <c r="X108"/>
  <c r="X122"/>
  <c r="U109"/>
  <c r="U101"/>
  <c r="U111"/>
  <c r="U116"/>
  <c r="U96"/>
  <c r="U121"/>
  <c r="S122"/>
  <c r="S96"/>
  <c r="S107"/>
  <c r="S97"/>
  <c r="S117"/>
  <c r="S123"/>
  <c r="S111"/>
  <c r="W101"/>
  <c r="W95"/>
  <c r="W118"/>
  <c r="W115"/>
  <c r="W107"/>
  <c r="W102"/>
  <c r="W104"/>
  <c r="R123"/>
  <c r="R103"/>
  <c r="R98"/>
  <c r="R109"/>
  <c r="R106"/>
  <c r="R104"/>
  <c r="R107"/>
  <c r="R114"/>
  <c r="L95"/>
  <c r="L103"/>
  <c r="L118"/>
  <c r="L106"/>
  <c r="L124"/>
  <c r="L122"/>
  <c r="L99"/>
  <c r="O95"/>
  <c r="O123"/>
  <c r="O99"/>
  <c r="O97"/>
  <c r="O114"/>
  <c r="O105"/>
  <c r="O120"/>
  <c r="O118"/>
  <c r="E97"/>
  <c r="E103"/>
  <c r="E123"/>
  <c r="E95"/>
  <c r="E109"/>
  <c r="E104"/>
  <c r="E115"/>
  <c r="Q118"/>
  <c r="Q110"/>
  <c r="Q105"/>
  <c r="Q96"/>
  <c r="Q111"/>
  <c r="Q98"/>
  <c r="Q119"/>
  <c r="Q106"/>
  <c r="J106"/>
  <c r="J114"/>
  <c r="J108"/>
  <c r="J100"/>
  <c r="J122"/>
  <c r="J95"/>
  <c r="J111"/>
  <c r="J115"/>
  <c r="H117"/>
  <c r="H121"/>
  <c r="H101"/>
  <c r="H118"/>
  <c r="H123"/>
  <c r="H112"/>
  <c r="M109"/>
  <c r="M116"/>
  <c r="M102"/>
  <c r="M95"/>
  <c r="M103"/>
  <c r="M97"/>
  <c r="M111"/>
  <c r="P117"/>
  <c r="P119"/>
  <c r="P107"/>
  <c r="P109"/>
  <c r="P114"/>
  <c r="P99"/>
  <c r="T121"/>
  <c r="T107"/>
  <c r="T97"/>
  <c r="T95"/>
  <c r="T104"/>
  <c r="T101"/>
  <c r="F123"/>
  <c r="F121"/>
  <c r="F110"/>
  <c r="F111"/>
  <c r="F104"/>
  <c r="F117"/>
  <c r="K118"/>
  <c r="K120"/>
  <c r="K104"/>
  <c r="K100"/>
  <c r="K121"/>
  <c r="K108"/>
  <c r="K116"/>
  <c r="K97"/>
  <c r="G113"/>
  <c r="G121"/>
  <c r="G98"/>
  <c r="G107"/>
  <c r="G101"/>
  <c r="G105"/>
  <c r="G122"/>
  <c r="Y80"/>
  <c r="Y64"/>
  <c r="Y83"/>
  <c r="Y74"/>
  <c r="Y71"/>
  <c r="Y61"/>
  <c r="Y66"/>
  <c r="Y76"/>
  <c r="Y86"/>
  <c r="Y60"/>
  <c r="Y67"/>
  <c r="Y104" s="1"/>
  <c r="Y82"/>
  <c r="Y57"/>
  <c r="Y94" s="1"/>
  <c r="Y63"/>
  <c r="Y78"/>
  <c r="Y75"/>
  <c r="Y112" s="1"/>
  <c r="Y62"/>
  <c r="Y73"/>
  <c r="Y79"/>
  <c r="Y116" s="1"/>
  <c r="Y77"/>
  <c r="Y114" s="1"/>
  <c r="Y70"/>
  <c r="Y68"/>
  <c r="Y85"/>
  <c r="Y65"/>
  <c r="Y59"/>
  <c r="Y81"/>
  <c r="Y69"/>
  <c r="Y72"/>
  <c r="Y87"/>
  <c r="Y124" s="1"/>
  <c r="Y84"/>
  <c r="Y58"/>
  <c r="I105"/>
  <c r="I121"/>
  <c r="I116"/>
  <c r="I99"/>
  <c r="N112"/>
  <c r="N124"/>
  <c r="N103"/>
  <c r="N97"/>
  <c r="N117"/>
  <c r="X118"/>
  <c r="X113"/>
  <c r="X116"/>
  <c r="X114"/>
  <c r="U118"/>
  <c r="U124"/>
  <c r="U119"/>
  <c r="U105"/>
  <c r="S95"/>
  <c r="S114"/>
  <c r="S104"/>
  <c r="S115"/>
  <c r="W109"/>
  <c r="W124"/>
  <c r="W98"/>
  <c r="W112"/>
  <c r="W114"/>
  <c r="W99"/>
  <c r="R117"/>
  <c r="R97"/>
  <c r="R118"/>
  <c r="R120"/>
  <c r="L115"/>
  <c r="L101"/>
  <c r="L120"/>
  <c r="L113"/>
  <c r="L102"/>
  <c r="O101"/>
  <c r="O111"/>
  <c r="O108"/>
  <c r="O122"/>
  <c r="O104"/>
  <c r="O113"/>
  <c r="E102"/>
  <c r="E121"/>
  <c r="E100"/>
  <c r="E111"/>
  <c r="Q122"/>
  <c r="Q102"/>
  <c r="Q116"/>
  <c r="Q103"/>
  <c r="Q95"/>
  <c r="Q117"/>
  <c r="J118"/>
  <c r="J121"/>
  <c r="J119"/>
  <c r="J97"/>
  <c r="J110"/>
  <c r="H107"/>
  <c r="H97"/>
  <c r="H111"/>
  <c r="H115"/>
  <c r="M119"/>
  <c r="M123"/>
  <c r="M105"/>
  <c r="M124"/>
  <c r="P104"/>
  <c r="P106"/>
  <c r="P95"/>
  <c r="P124"/>
  <c r="P101"/>
  <c r="T117"/>
  <c r="T115"/>
  <c r="T112"/>
  <c r="T103"/>
  <c r="T124"/>
  <c r="F120"/>
  <c r="F113"/>
  <c r="F99"/>
  <c r="K111"/>
  <c r="K107"/>
  <c r="G103"/>
  <c r="G96"/>
  <c r="G117"/>
  <c r="G100"/>
  <c r="G119"/>
  <c r="I113"/>
  <c r="I119"/>
  <c r="N102"/>
  <c r="N116"/>
  <c r="X110"/>
  <c r="X103"/>
  <c r="U108"/>
  <c r="U95"/>
  <c r="S100"/>
  <c r="S102"/>
  <c r="W106"/>
  <c r="W121"/>
  <c r="W117"/>
  <c r="R112"/>
  <c r="R95"/>
  <c r="L117"/>
  <c r="L110"/>
  <c r="L105"/>
  <c r="L112"/>
  <c r="O107"/>
  <c r="O116"/>
  <c r="E114"/>
  <c r="E120"/>
  <c r="E108"/>
  <c r="E118"/>
  <c r="E125"/>
  <c r="Q100"/>
  <c r="Q108"/>
  <c r="J103"/>
  <c r="J105"/>
  <c r="H106"/>
  <c r="H109"/>
  <c r="M121"/>
  <c r="M107"/>
  <c r="M108"/>
  <c r="P123"/>
  <c r="P96"/>
  <c r="P98"/>
  <c r="P112"/>
  <c r="T100"/>
  <c r="T118"/>
  <c r="T120"/>
  <c r="F102"/>
  <c r="F109"/>
  <c r="F103"/>
  <c r="F114"/>
  <c r="F95"/>
  <c r="K95"/>
  <c r="K113"/>
  <c r="K123"/>
  <c r="K99"/>
  <c r="K96"/>
  <c r="K102"/>
  <c r="G116"/>
  <c r="G97"/>
  <c r="G104"/>
  <c r="G110"/>
  <c r="G108"/>
  <c r="Y51"/>
  <c r="Y88"/>
  <c r="P40" i="36"/>
  <c r="P38"/>
  <c r="P39"/>
  <c r="P41"/>
  <c r="P42"/>
  <c r="H146" i="35"/>
  <c r="H144"/>
  <c r="U41" i="36"/>
  <c r="U40"/>
  <c r="U38"/>
  <c r="U42"/>
  <c r="U39"/>
  <c r="U146" i="35"/>
  <c r="U144"/>
  <c r="Q146"/>
  <c r="Q144"/>
  <c r="M146"/>
  <c r="M144"/>
  <c r="S146"/>
  <c r="S144"/>
  <c r="N146"/>
  <c r="N144"/>
  <c r="K42" i="36"/>
  <c r="K38"/>
  <c r="K39"/>
  <c r="K40"/>
  <c r="K41"/>
  <c r="V40"/>
  <c r="V38"/>
  <c r="V41"/>
  <c r="V39"/>
  <c r="V42"/>
  <c r="R39"/>
  <c r="R41"/>
  <c r="R38"/>
  <c r="R42"/>
  <c r="R40"/>
  <c r="V146" i="35"/>
  <c r="V144"/>
  <c r="S38" i="36"/>
  <c r="S39"/>
  <c r="S42"/>
  <c r="S41"/>
  <c r="S40"/>
  <c r="X146" i="35"/>
  <c r="X144"/>
  <c r="P146"/>
  <c r="P144"/>
  <c r="T146"/>
  <c r="T144"/>
  <c r="W39" i="36"/>
  <c r="W41"/>
  <c r="W38"/>
  <c r="W42"/>
  <c r="W40"/>
  <c r="O146" i="35"/>
  <c r="O144"/>
  <c r="G146"/>
  <c r="G144"/>
  <c r="Y142"/>
  <c r="E143"/>
  <c r="Y137"/>
  <c r="O41" i="36"/>
  <c r="O40"/>
  <c r="O38"/>
  <c r="O42"/>
  <c r="O39"/>
  <c r="L146" i="35"/>
  <c r="L144"/>
  <c r="T41" i="36"/>
  <c r="T38"/>
  <c r="T42"/>
  <c r="T39"/>
  <c r="T40"/>
  <c r="M38"/>
  <c r="M41"/>
  <c r="M39"/>
  <c r="M42"/>
  <c r="M40"/>
  <c r="Q39"/>
  <c r="Q41"/>
  <c r="Q38"/>
  <c r="Q40"/>
  <c r="Q42"/>
  <c r="I146" i="35"/>
  <c r="I144"/>
  <c r="J41" i="36"/>
  <c r="J39"/>
  <c r="J38"/>
  <c r="J40"/>
  <c r="J42"/>
  <c r="Y16"/>
  <c r="R146" i="35"/>
  <c r="R144"/>
  <c r="L38" i="36"/>
  <c r="L41"/>
  <c r="L39"/>
  <c r="L42"/>
  <c r="L40"/>
  <c r="F146" i="35"/>
  <c r="F144"/>
  <c r="K146"/>
  <c r="K144"/>
  <c r="J146"/>
  <c r="J144"/>
  <c r="X41" i="36"/>
  <c r="X38"/>
  <c r="X39"/>
  <c r="X40"/>
  <c r="X42"/>
  <c r="W146" i="35"/>
  <c r="W144"/>
  <c r="N40" i="36"/>
  <c r="N42"/>
  <c r="N39"/>
  <c r="N38"/>
  <c r="N41"/>
  <c r="Y147" i="35"/>
  <c r="Y125" l="1"/>
  <c r="Y109"/>
  <c r="Y121"/>
  <c r="Y105"/>
  <c r="R127"/>
  <c r="Y95"/>
  <c r="G127"/>
  <c r="K127"/>
  <c r="F127"/>
  <c r="P127"/>
  <c r="S127"/>
  <c r="T127"/>
  <c r="L127"/>
  <c r="H127"/>
  <c r="Q127"/>
  <c r="Y118"/>
  <c r="Y110"/>
  <c r="Y100"/>
  <c r="Y97"/>
  <c r="Y98"/>
  <c r="M127"/>
  <c r="J127"/>
  <c r="O127"/>
  <c r="X127"/>
  <c r="I127"/>
  <c r="W127"/>
  <c r="E127"/>
  <c r="E128" s="1"/>
  <c r="Y122"/>
  <c r="Y115"/>
  <c r="Y103"/>
  <c r="Y120"/>
  <c r="V127"/>
  <c r="Y119"/>
  <c r="Y113"/>
  <c r="Y111"/>
  <c r="N127"/>
  <c r="Y101"/>
  <c r="Y106"/>
  <c r="Y102"/>
  <c r="Y96"/>
  <c r="Y107"/>
  <c r="Y99"/>
  <c r="Y123"/>
  <c r="Y108"/>
  <c r="Y117"/>
  <c r="U127"/>
  <c r="N44" i="36"/>
  <c r="Y40"/>
  <c r="Z40" s="1"/>
  <c r="Y38"/>
  <c r="Z38" s="1"/>
  <c r="Y42"/>
  <c r="Z42" s="1"/>
  <c r="Y39"/>
  <c r="Z39" s="1"/>
  <c r="Y44"/>
  <c r="Y41"/>
  <c r="Z41" s="1"/>
  <c r="Y43"/>
  <c r="J44"/>
  <c r="P44"/>
  <c r="T44"/>
  <c r="S44"/>
  <c r="L44"/>
  <c r="M44"/>
  <c r="K44"/>
  <c r="Q44"/>
  <c r="R44"/>
  <c r="U44"/>
  <c r="X44"/>
  <c r="O44"/>
  <c r="E146" i="35"/>
  <c r="Y146" s="1"/>
  <c r="Y143"/>
  <c r="E144"/>
  <c r="W44" i="36"/>
  <c r="V44"/>
  <c r="F128" i="35" l="1"/>
  <c r="G128" s="1"/>
  <c r="H128" s="1"/>
  <c r="I128" s="1"/>
  <c r="J128" s="1"/>
  <c r="K128" s="1"/>
  <c r="L128" s="1"/>
  <c r="M128" s="1"/>
  <c r="N128" s="1"/>
  <c r="O128" s="1"/>
  <c r="P128" s="1"/>
  <c r="Q128" s="1"/>
  <c r="R128" s="1"/>
  <c r="S128" s="1"/>
  <c r="T128" s="1"/>
  <c r="U128" s="1"/>
  <c r="V128" s="1"/>
  <c r="W128" s="1"/>
  <c r="X128" s="1"/>
  <c r="Y128"/>
  <c r="Z44" i="36"/>
  <c r="C45" i="24" l="1"/>
  <c r="B45"/>
  <c r="E13" i="36" s="1"/>
  <c r="E30" l="1"/>
  <c r="E50" s="1"/>
  <c r="E29"/>
  <c r="E49" s="1"/>
  <c r="E20"/>
  <c r="E21" s="1"/>
  <c r="F21" s="1"/>
  <c r="G21" s="1"/>
  <c r="H21" s="1"/>
  <c r="I21" s="1"/>
  <c r="J21" s="1"/>
  <c r="K21" s="1"/>
  <c r="L21" s="1"/>
  <c r="M21" s="1"/>
  <c r="N21" s="1"/>
  <c r="O21" s="1"/>
  <c r="P21" s="1"/>
  <c r="Q21" s="1"/>
  <c r="R21" s="1"/>
  <c r="S21" s="1"/>
  <c r="T21" s="1"/>
  <c r="U21" s="1"/>
  <c r="V21" s="1"/>
  <c r="W21" s="1"/>
  <c r="X21" s="1"/>
  <c r="E28"/>
  <c r="F13"/>
  <c r="E31"/>
  <c r="E51" s="1"/>
  <c r="E32"/>
  <c r="E52" s="1"/>
  <c r="E60" l="1"/>
  <c r="E72"/>
  <c r="E73"/>
  <c r="E61"/>
  <c r="E71"/>
  <c r="E59"/>
  <c r="E74"/>
  <c r="E62"/>
  <c r="F32"/>
  <c r="F52" s="1"/>
  <c r="F74" s="1"/>
  <c r="F30"/>
  <c r="F50" s="1"/>
  <c r="F72" s="1"/>
  <c r="F31"/>
  <c r="F51" s="1"/>
  <c r="F73" s="1"/>
  <c r="G13"/>
  <c r="F20"/>
  <c r="F29"/>
  <c r="F49" s="1"/>
  <c r="F71" s="1"/>
  <c r="F28"/>
  <c r="E48"/>
  <c r="E34"/>
  <c r="F60" l="1"/>
  <c r="F62"/>
  <c r="F61"/>
  <c r="E70"/>
  <c r="E54"/>
  <c r="E58"/>
  <c r="F34"/>
  <c r="F48"/>
  <c r="F59"/>
  <c r="G20"/>
  <c r="G32"/>
  <c r="G52" s="1"/>
  <c r="G74" s="1"/>
  <c r="G30"/>
  <c r="G50" s="1"/>
  <c r="G72" s="1"/>
  <c r="G29"/>
  <c r="G49" s="1"/>
  <c r="G71" s="1"/>
  <c r="H13"/>
  <c r="G31"/>
  <c r="G51" s="1"/>
  <c r="G73" s="1"/>
  <c r="G28"/>
  <c r="G61" l="1"/>
  <c r="H61" s="1"/>
  <c r="H20"/>
  <c r="H32"/>
  <c r="H52" s="1"/>
  <c r="H74" s="1"/>
  <c r="H31"/>
  <c r="H51" s="1"/>
  <c r="H73" s="1"/>
  <c r="H29"/>
  <c r="H49" s="1"/>
  <c r="H71" s="1"/>
  <c r="H28"/>
  <c r="H30"/>
  <c r="H50" s="1"/>
  <c r="H72" s="1"/>
  <c r="I13"/>
  <c r="F54"/>
  <c r="F70"/>
  <c r="E97"/>
  <c r="E88"/>
  <c r="E99"/>
  <c r="E92"/>
  <c r="E101"/>
  <c r="E98"/>
  <c r="E83"/>
  <c r="E93"/>
  <c r="E130" s="1"/>
  <c r="E106"/>
  <c r="E86"/>
  <c r="E76"/>
  <c r="E91"/>
  <c r="E84"/>
  <c r="E107"/>
  <c r="E110"/>
  <c r="E103"/>
  <c r="E108"/>
  <c r="E145" s="1"/>
  <c r="E90"/>
  <c r="E102"/>
  <c r="E113"/>
  <c r="E95"/>
  <c r="E89"/>
  <c r="E126" s="1"/>
  <c r="E109"/>
  <c r="E100"/>
  <c r="E104"/>
  <c r="E111"/>
  <c r="E87"/>
  <c r="E82"/>
  <c r="E119" s="1"/>
  <c r="E94"/>
  <c r="E105"/>
  <c r="E85"/>
  <c r="E96"/>
  <c r="E112"/>
  <c r="E149" s="1"/>
  <c r="G34"/>
  <c r="G48"/>
  <c r="E64"/>
  <c r="F58"/>
  <c r="G59"/>
  <c r="G62"/>
  <c r="G60"/>
  <c r="E137" l="1"/>
  <c r="E121"/>
  <c r="E143"/>
  <c r="H59"/>
  <c r="E148"/>
  <c r="E131"/>
  <c r="E134"/>
  <c r="E123"/>
  <c r="E125"/>
  <c r="E141"/>
  <c r="E138"/>
  <c r="F100"/>
  <c r="F107"/>
  <c r="F86"/>
  <c r="F110"/>
  <c r="F85"/>
  <c r="F83"/>
  <c r="F99"/>
  <c r="F105"/>
  <c r="F104"/>
  <c r="F87"/>
  <c r="F91"/>
  <c r="F106"/>
  <c r="F143" s="1"/>
  <c r="F111"/>
  <c r="F94"/>
  <c r="F76"/>
  <c r="F96"/>
  <c r="F95"/>
  <c r="F82"/>
  <c r="F119" s="1"/>
  <c r="F97"/>
  <c r="F109"/>
  <c r="F113"/>
  <c r="F88"/>
  <c r="F125" s="1"/>
  <c r="F89"/>
  <c r="F108"/>
  <c r="F84"/>
  <c r="F102"/>
  <c r="F98"/>
  <c r="F135" s="1"/>
  <c r="F90"/>
  <c r="F103"/>
  <c r="F93"/>
  <c r="F112"/>
  <c r="F92"/>
  <c r="F101"/>
  <c r="F138" s="1"/>
  <c r="H34"/>
  <c r="H48"/>
  <c r="E132"/>
  <c r="E142"/>
  <c r="E127"/>
  <c r="E135"/>
  <c r="H60"/>
  <c r="E133"/>
  <c r="E150"/>
  <c r="E140"/>
  <c r="E128"/>
  <c r="E129"/>
  <c r="F64"/>
  <c r="G58"/>
  <c r="I31"/>
  <c r="I51" s="1"/>
  <c r="I73" s="1"/>
  <c r="I32"/>
  <c r="I52" s="1"/>
  <c r="I74" s="1"/>
  <c r="I30"/>
  <c r="I50" s="1"/>
  <c r="I72" s="1"/>
  <c r="I20"/>
  <c r="I29"/>
  <c r="I49" s="1"/>
  <c r="I71" s="1"/>
  <c r="J13"/>
  <c r="I28"/>
  <c r="G54"/>
  <c r="G70"/>
  <c r="E144"/>
  <c r="H62"/>
  <c r="E122"/>
  <c r="E124"/>
  <c r="E146"/>
  <c r="E139"/>
  <c r="E147"/>
  <c r="E120"/>
  <c r="E136"/>
  <c r="F148" l="1"/>
  <c r="F124"/>
  <c r="E152"/>
  <c r="I60"/>
  <c r="I59"/>
  <c r="F140"/>
  <c r="F121"/>
  <c r="F150"/>
  <c r="F132"/>
  <c r="F137"/>
  <c r="I62"/>
  <c r="F129"/>
  <c r="F127"/>
  <c r="F145"/>
  <c r="G109"/>
  <c r="G112"/>
  <c r="G98"/>
  <c r="G99"/>
  <c r="G108"/>
  <c r="G76"/>
  <c r="G86"/>
  <c r="G94"/>
  <c r="G83"/>
  <c r="G91"/>
  <c r="G103"/>
  <c r="G100"/>
  <c r="G137" s="1"/>
  <c r="G106"/>
  <c r="G107"/>
  <c r="G88"/>
  <c r="G111"/>
  <c r="G101"/>
  <c r="G89"/>
  <c r="G87"/>
  <c r="G124" s="1"/>
  <c r="G82"/>
  <c r="G119" s="1"/>
  <c r="G95"/>
  <c r="G110"/>
  <c r="G92"/>
  <c r="G85"/>
  <c r="G84"/>
  <c r="G121" s="1"/>
  <c r="G93"/>
  <c r="G104"/>
  <c r="G141" s="1"/>
  <c r="G113"/>
  <c r="G90"/>
  <c r="G105"/>
  <c r="G102"/>
  <c r="G96"/>
  <c r="G97"/>
  <c r="J31"/>
  <c r="J51" s="1"/>
  <c r="J73" s="1"/>
  <c r="J20"/>
  <c r="J32"/>
  <c r="J52" s="1"/>
  <c r="J74" s="1"/>
  <c r="K13"/>
  <c r="J30"/>
  <c r="J50" s="1"/>
  <c r="J72" s="1"/>
  <c r="J29"/>
  <c r="J49" s="1"/>
  <c r="J71" s="1"/>
  <c r="J28"/>
  <c r="H54"/>
  <c r="H70"/>
  <c r="F141"/>
  <c r="F122"/>
  <c r="F130"/>
  <c r="F139"/>
  <c r="F131"/>
  <c r="F120"/>
  <c r="F144"/>
  <c r="I61"/>
  <c r="F149"/>
  <c r="F126"/>
  <c r="F134"/>
  <c r="F128"/>
  <c r="F136"/>
  <c r="F123"/>
  <c r="G64"/>
  <c r="H58"/>
  <c r="I34"/>
  <c r="I48"/>
  <c r="F146"/>
  <c r="F133"/>
  <c r="F142"/>
  <c r="F147"/>
  <c r="G127" l="1"/>
  <c r="J59"/>
  <c r="G143"/>
  <c r="G145"/>
  <c r="G136"/>
  <c r="G142"/>
  <c r="G130"/>
  <c r="G126"/>
  <c r="G129"/>
  <c r="F152"/>
  <c r="G133"/>
  <c r="G150"/>
  <c r="G122"/>
  <c r="G148"/>
  <c r="G131"/>
  <c r="G134"/>
  <c r="G132"/>
  <c r="G147"/>
  <c r="G144"/>
  <c r="G128"/>
  <c r="G149"/>
  <c r="J34"/>
  <c r="J48"/>
  <c r="I70"/>
  <c r="I54"/>
  <c r="K31"/>
  <c r="K51" s="1"/>
  <c r="K73" s="1"/>
  <c r="K30"/>
  <c r="K50" s="1"/>
  <c r="K72" s="1"/>
  <c r="K29"/>
  <c r="K49" s="1"/>
  <c r="K71" s="1"/>
  <c r="K28"/>
  <c r="L13"/>
  <c r="K32"/>
  <c r="K52" s="1"/>
  <c r="K74" s="1"/>
  <c r="K20"/>
  <c r="H76"/>
  <c r="H88"/>
  <c r="H91"/>
  <c r="H111"/>
  <c r="H110"/>
  <c r="H98"/>
  <c r="H89"/>
  <c r="H87"/>
  <c r="H84"/>
  <c r="H102"/>
  <c r="H100"/>
  <c r="H105"/>
  <c r="H103"/>
  <c r="H83"/>
  <c r="H107"/>
  <c r="H112"/>
  <c r="H149" s="1"/>
  <c r="H94"/>
  <c r="H95"/>
  <c r="H92"/>
  <c r="H129" s="1"/>
  <c r="H106"/>
  <c r="H143" s="1"/>
  <c r="H104"/>
  <c r="H141" s="1"/>
  <c r="H93"/>
  <c r="H113"/>
  <c r="H109"/>
  <c r="H82"/>
  <c r="H119" s="1"/>
  <c r="H99"/>
  <c r="H136" s="1"/>
  <c r="H108"/>
  <c r="H145" s="1"/>
  <c r="H86"/>
  <c r="H101"/>
  <c r="H97"/>
  <c r="H96"/>
  <c r="H90"/>
  <c r="H85"/>
  <c r="H122" s="1"/>
  <c r="H64"/>
  <c r="I58"/>
  <c r="G138"/>
  <c r="G120"/>
  <c r="G146"/>
  <c r="J62"/>
  <c r="J60"/>
  <c r="J61"/>
  <c r="K61" s="1"/>
  <c r="G139"/>
  <c r="G125"/>
  <c r="G140"/>
  <c r="G123"/>
  <c r="G135"/>
  <c r="K59" l="1"/>
  <c r="H140"/>
  <c r="K60"/>
  <c r="H138"/>
  <c r="H131"/>
  <c r="H121"/>
  <c r="K62"/>
  <c r="H127"/>
  <c r="H146"/>
  <c r="H133"/>
  <c r="H126"/>
  <c r="G152"/>
  <c r="H123"/>
  <c r="H142"/>
  <c r="H148"/>
  <c r="I97"/>
  <c r="I83"/>
  <c r="I88"/>
  <c r="I82"/>
  <c r="I119" s="1"/>
  <c r="I105"/>
  <c r="I86"/>
  <c r="I96"/>
  <c r="I76"/>
  <c r="I99"/>
  <c r="I112"/>
  <c r="I111"/>
  <c r="I102"/>
  <c r="I104"/>
  <c r="I95"/>
  <c r="I91"/>
  <c r="I103"/>
  <c r="I108"/>
  <c r="I109"/>
  <c r="I106"/>
  <c r="I98"/>
  <c r="I84"/>
  <c r="I110"/>
  <c r="I147" s="1"/>
  <c r="I93"/>
  <c r="I90"/>
  <c r="I100"/>
  <c r="I137" s="1"/>
  <c r="I113"/>
  <c r="I85"/>
  <c r="I92"/>
  <c r="I94"/>
  <c r="I87"/>
  <c r="I124" s="1"/>
  <c r="I101"/>
  <c r="I107"/>
  <c r="I89"/>
  <c r="K34"/>
  <c r="K48"/>
  <c r="L29"/>
  <c r="L49" s="1"/>
  <c r="L71" s="1"/>
  <c r="L30"/>
  <c r="L50" s="1"/>
  <c r="L72" s="1"/>
  <c r="L20"/>
  <c r="L31"/>
  <c r="L51" s="1"/>
  <c r="L73" s="1"/>
  <c r="L32"/>
  <c r="L52" s="1"/>
  <c r="L74" s="1"/>
  <c r="M13"/>
  <c r="L28"/>
  <c r="H147"/>
  <c r="H134"/>
  <c r="H130"/>
  <c r="H132"/>
  <c r="H120"/>
  <c r="H139"/>
  <c r="H135"/>
  <c r="H125"/>
  <c r="I64"/>
  <c r="J58"/>
  <c r="J54"/>
  <c r="J70"/>
  <c r="H124"/>
  <c r="H150"/>
  <c r="H144"/>
  <c r="H137"/>
  <c r="H128"/>
  <c r="I140" l="1"/>
  <c r="I121"/>
  <c r="I129"/>
  <c r="I126"/>
  <c r="I131"/>
  <c r="I134"/>
  <c r="I144"/>
  <c r="L60"/>
  <c r="I149"/>
  <c r="L59"/>
  <c r="H152"/>
  <c r="I145"/>
  <c r="I150"/>
  <c r="L62"/>
  <c r="I130"/>
  <c r="I141"/>
  <c r="I136"/>
  <c r="I123"/>
  <c r="I120"/>
  <c r="M32"/>
  <c r="M52" s="1"/>
  <c r="M74" s="1"/>
  <c r="M29"/>
  <c r="M49" s="1"/>
  <c r="M71" s="1"/>
  <c r="M31"/>
  <c r="M51" s="1"/>
  <c r="M73" s="1"/>
  <c r="M28"/>
  <c r="N13"/>
  <c r="M20"/>
  <c r="M30"/>
  <c r="M50" s="1"/>
  <c r="M72" s="1"/>
  <c r="K58"/>
  <c r="J64"/>
  <c r="L34"/>
  <c r="L48"/>
  <c r="I138"/>
  <c r="I122"/>
  <c r="I143"/>
  <c r="I128"/>
  <c r="I148"/>
  <c r="I133"/>
  <c r="I125"/>
  <c r="K54"/>
  <c r="K70"/>
  <c r="J76"/>
  <c r="J83"/>
  <c r="J93"/>
  <c r="J104"/>
  <c r="J92"/>
  <c r="J112"/>
  <c r="J106"/>
  <c r="J99"/>
  <c r="J91"/>
  <c r="J94"/>
  <c r="J110"/>
  <c r="J101"/>
  <c r="J88"/>
  <c r="J96"/>
  <c r="J82"/>
  <c r="J119" s="1"/>
  <c r="J86"/>
  <c r="J103"/>
  <c r="J107"/>
  <c r="J111"/>
  <c r="J148" s="1"/>
  <c r="J113"/>
  <c r="J98"/>
  <c r="J84"/>
  <c r="J121" s="1"/>
  <c r="J108"/>
  <c r="J105"/>
  <c r="J142" s="1"/>
  <c r="J100"/>
  <c r="J95"/>
  <c r="J132" s="1"/>
  <c r="J87"/>
  <c r="J90"/>
  <c r="J109"/>
  <c r="J102"/>
  <c r="J97"/>
  <c r="J85"/>
  <c r="J89"/>
  <c r="J126" s="1"/>
  <c r="I142"/>
  <c r="I146"/>
  <c r="I132"/>
  <c r="L61"/>
  <c r="I127"/>
  <c r="I135"/>
  <c r="I139"/>
  <c r="M61" l="1"/>
  <c r="J124"/>
  <c r="J134"/>
  <c r="J145"/>
  <c r="J147"/>
  <c r="J143"/>
  <c r="J130"/>
  <c r="M60"/>
  <c r="J122"/>
  <c r="J127"/>
  <c r="J150"/>
  <c r="J138"/>
  <c r="J136"/>
  <c r="J141"/>
  <c r="I152"/>
  <c r="N31"/>
  <c r="N51" s="1"/>
  <c r="N73" s="1"/>
  <c r="N29"/>
  <c r="N49" s="1"/>
  <c r="N71" s="1"/>
  <c r="N20"/>
  <c r="N32"/>
  <c r="N52" s="1"/>
  <c r="N74" s="1"/>
  <c r="N28"/>
  <c r="O13"/>
  <c r="N30"/>
  <c r="N50" s="1"/>
  <c r="N72" s="1"/>
  <c r="K105"/>
  <c r="K104"/>
  <c r="K111"/>
  <c r="K112"/>
  <c r="K87"/>
  <c r="K102"/>
  <c r="K96"/>
  <c r="K90"/>
  <c r="K94"/>
  <c r="K95"/>
  <c r="K110"/>
  <c r="K99"/>
  <c r="K89"/>
  <c r="K106"/>
  <c r="K103"/>
  <c r="K84"/>
  <c r="K92"/>
  <c r="K101"/>
  <c r="K91"/>
  <c r="K85"/>
  <c r="K122" s="1"/>
  <c r="K76"/>
  <c r="K93"/>
  <c r="K100"/>
  <c r="K86"/>
  <c r="K123" s="1"/>
  <c r="K97"/>
  <c r="K109"/>
  <c r="K113"/>
  <c r="K88"/>
  <c r="K83"/>
  <c r="K108"/>
  <c r="K107"/>
  <c r="K98"/>
  <c r="K82"/>
  <c r="K119" s="1"/>
  <c r="L54"/>
  <c r="L70"/>
  <c r="M62"/>
  <c r="J146"/>
  <c r="J137"/>
  <c r="J135"/>
  <c r="J140"/>
  <c r="J125"/>
  <c r="J128"/>
  <c r="J129"/>
  <c r="K64"/>
  <c r="L58"/>
  <c r="M34"/>
  <c r="M48"/>
  <c r="J123"/>
  <c r="J139"/>
  <c r="J144"/>
  <c r="J133"/>
  <c r="J131"/>
  <c r="J149"/>
  <c r="J120"/>
  <c r="M59"/>
  <c r="N59" s="1"/>
  <c r="K145" l="1"/>
  <c r="K138"/>
  <c r="K141"/>
  <c r="N60"/>
  <c r="K150"/>
  <c r="K137"/>
  <c r="K128"/>
  <c r="N62"/>
  <c r="K130"/>
  <c r="K143"/>
  <c r="K132"/>
  <c r="J152"/>
  <c r="K135"/>
  <c r="K125"/>
  <c r="L64"/>
  <c r="M58"/>
  <c r="K146"/>
  <c r="K139"/>
  <c r="K144"/>
  <c r="K147"/>
  <c r="K133"/>
  <c r="K121"/>
  <c r="K136"/>
  <c r="K127"/>
  <c r="K149"/>
  <c r="N34"/>
  <c r="N48"/>
  <c r="L98"/>
  <c r="L87"/>
  <c r="L83"/>
  <c r="L93"/>
  <c r="L76"/>
  <c r="L95"/>
  <c r="L113"/>
  <c r="L94"/>
  <c r="L131" s="1"/>
  <c r="L84"/>
  <c r="L102"/>
  <c r="L91"/>
  <c r="L108"/>
  <c r="L90"/>
  <c r="L110"/>
  <c r="L103"/>
  <c r="L97"/>
  <c r="L82"/>
  <c r="L119" s="1"/>
  <c r="L86"/>
  <c r="L123" s="1"/>
  <c r="L85"/>
  <c r="L99"/>
  <c r="L111"/>
  <c r="L109"/>
  <c r="L100"/>
  <c r="L88"/>
  <c r="L92"/>
  <c r="L112"/>
  <c r="L106"/>
  <c r="L105"/>
  <c r="L101"/>
  <c r="L96"/>
  <c r="L133" s="1"/>
  <c r="L89"/>
  <c r="L104"/>
  <c r="L107"/>
  <c r="O20"/>
  <c r="O32"/>
  <c r="O52" s="1"/>
  <c r="O74" s="1"/>
  <c r="O28"/>
  <c r="O31"/>
  <c r="O51" s="1"/>
  <c r="O73" s="1"/>
  <c r="O29"/>
  <c r="O49" s="1"/>
  <c r="O71" s="1"/>
  <c r="P13"/>
  <c r="O30"/>
  <c r="O50" s="1"/>
  <c r="O72" s="1"/>
  <c r="M54"/>
  <c r="M70"/>
  <c r="N61"/>
  <c r="K140"/>
  <c r="K148"/>
  <c r="K120"/>
  <c r="K134"/>
  <c r="K129"/>
  <c r="K126"/>
  <c r="K131"/>
  <c r="K124"/>
  <c r="K142"/>
  <c r="L141" l="1"/>
  <c r="O62"/>
  <c r="L144"/>
  <c r="L138"/>
  <c r="L129"/>
  <c r="L148"/>
  <c r="L127"/>
  <c r="L121"/>
  <c r="O59"/>
  <c r="L140"/>
  <c r="K152"/>
  <c r="L125"/>
  <c r="L136"/>
  <c r="L134"/>
  <c r="L145"/>
  <c r="L130"/>
  <c r="O48"/>
  <c r="O34"/>
  <c r="P31"/>
  <c r="P51" s="1"/>
  <c r="P73" s="1"/>
  <c r="P32"/>
  <c r="P52" s="1"/>
  <c r="P74" s="1"/>
  <c r="P20"/>
  <c r="Q13"/>
  <c r="P29"/>
  <c r="P49" s="1"/>
  <c r="P71" s="1"/>
  <c r="P28"/>
  <c r="P30"/>
  <c r="P50" s="1"/>
  <c r="P72" s="1"/>
  <c r="L142"/>
  <c r="O61"/>
  <c r="L126"/>
  <c r="L143"/>
  <c r="L137"/>
  <c r="L122"/>
  <c r="L128"/>
  <c r="L150"/>
  <c r="L120"/>
  <c r="N54"/>
  <c r="N70"/>
  <c r="N58"/>
  <c r="M64"/>
  <c r="M106"/>
  <c r="M102"/>
  <c r="M105"/>
  <c r="M90"/>
  <c r="M84"/>
  <c r="M87"/>
  <c r="M88"/>
  <c r="M104"/>
  <c r="M100"/>
  <c r="M96"/>
  <c r="M97"/>
  <c r="M91"/>
  <c r="M128" s="1"/>
  <c r="M109"/>
  <c r="M107"/>
  <c r="M93"/>
  <c r="M76"/>
  <c r="M85"/>
  <c r="M122" s="1"/>
  <c r="M83"/>
  <c r="M95"/>
  <c r="M113"/>
  <c r="M99"/>
  <c r="M111"/>
  <c r="M94"/>
  <c r="M131" s="1"/>
  <c r="M103"/>
  <c r="M112"/>
  <c r="M101"/>
  <c r="M98"/>
  <c r="M135" s="1"/>
  <c r="M108"/>
  <c r="M89"/>
  <c r="M82"/>
  <c r="M119" s="1"/>
  <c r="M86"/>
  <c r="M92"/>
  <c r="M129" s="1"/>
  <c r="M110"/>
  <c r="M147" s="1"/>
  <c r="L135"/>
  <c r="O60"/>
  <c r="L149"/>
  <c r="L146"/>
  <c r="L147"/>
  <c r="L139"/>
  <c r="L132"/>
  <c r="L124"/>
  <c r="M150" l="1"/>
  <c r="P61"/>
  <c r="M138"/>
  <c r="M148"/>
  <c r="M144"/>
  <c r="M133"/>
  <c r="M124"/>
  <c r="L152"/>
  <c r="P59"/>
  <c r="M123"/>
  <c r="M130"/>
  <c r="M142"/>
  <c r="N99"/>
  <c r="N90"/>
  <c r="N94"/>
  <c r="N92"/>
  <c r="N103"/>
  <c r="N91"/>
  <c r="N128" s="1"/>
  <c r="N83"/>
  <c r="N88"/>
  <c r="N101"/>
  <c r="N110"/>
  <c r="N98"/>
  <c r="N106"/>
  <c r="N76"/>
  <c r="N104"/>
  <c r="N105"/>
  <c r="N108"/>
  <c r="N107"/>
  <c r="N100"/>
  <c r="N87"/>
  <c r="N111"/>
  <c r="N84"/>
  <c r="N85"/>
  <c r="N96"/>
  <c r="N102"/>
  <c r="N97"/>
  <c r="N93"/>
  <c r="N113"/>
  <c r="N109"/>
  <c r="N146" s="1"/>
  <c r="N86"/>
  <c r="N82"/>
  <c r="N119" s="1"/>
  <c r="N89"/>
  <c r="N112"/>
  <c r="N149" s="1"/>
  <c r="N95"/>
  <c r="O54"/>
  <c r="O70"/>
  <c r="N64"/>
  <c r="O58"/>
  <c r="Q20"/>
  <c r="Q28"/>
  <c r="R13"/>
  <c r="Q31"/>
  <c r="Q51" s="1"/>
  <c r="Q73" s="1"/>
  <c r="Q30"/>
  <c r="Q50" s="1"/>
  <c r="Q72" s="1"/>
  <c r="Q29"/>
  <c r="Q49" s="1"/>
  <c r="Q71" s="1"/>
  <c r="Q32"/>
  <c r="Q52" s="1"/>
  <c r="Q74" s="1"/>
  <c r="M139"/>
  <c r="M140"/>
  <c r="M141"/>
  <c r="M127"/>
  <c r="P62"/>
  <c r="P34"/>
  <c r="P48"/>
  <c r="M120"/>
  <c r="M132"/>
  <c r="M134"/>
  <c r="M125"/>
  <c r="M145"/>
  <c r="P60"/>
  <c r="M126"/>
  <c r="M149"/>
  <c r="M136"/>
  <c r="M146"/>
  <c r="M137"/>
  <c r="M121"/>
  <c r="M143"/>
  <c r="Q59" l="1"/>
  <c r="N127"/>
  <c r="N130"/>
  <c r="N147"/>
  <c r="N126"/>
  <c r="N144"/>
  <c r="M152"/>
  <c r="N132"/>
  <c r="N123"/>
  <c r="N134"/>
  <c r="N121"/>
  <c r="N138"/>
  <c r="N140"/>
  <c r="N136"/>
  <c r="P54"/>
  <c r="P70"/>
  <c r="P58"/>
  <c r="O64"/>
  <c r="Q34"/>
  <c r="Q48"/>
  <c r="O103"/>
  <c r="O95"/>
  <c r="O83"/>
  <c r="O88"/>
  <c r="O101"/>
  <c r="O76"/>
  <c r="O102"/>
  <c r="O85"/>
  <c r="O110"/>
  <c r="O111"/>
  <c r="O112"/>
  <c r="O93"/>
  <c r="O106"/>
  <c r="O96"/>
  <c r="O133" s="1"/>
  <c r="O99"/>
  <c r="O90"/>
  <c r="O109"/>
  <c r="O84"/>
  <c r="O91"/>
  <c r="O104"/>
  <c r="O107"/>
  <c r="O144" s="1"/>
  <c r="O82"/>
  <c r="O119" s="1"/>
  <c r="O108"/>
  <c r="O92"/>
  <c r="O113"/>
  <c r="O94"/>
  <c r="O100"/>
  <c r="O137" s="1"/>
  <c r="O105"/>
  <c r="O142" s="1"/>
  <c r="O97"/>
  <c r="O134" s="1"/>
  <c r="O86"/>
  <c r="O87"/>
  <c r="O89"/>
  <c r="O126" s="1"/>
  <c r="O98"/>
  <c r="O135" s="1"/>
  <c r="N137"/>
  <c r="Q61"/>
  <c r="Q60"/>
  <c r="Q62"/>
  <c r="N150"/>
  <c r="N133"/>
  <c r="N124"/>
  <c r="N142"/>
  <c r="N135"/>
  <c r="N120"/>
  <c r="N131"/>
  <c r="R20"/>
  <c r="R29"/>
  <c r="R49" s="1"/>
  <c r="R71" s="1"/>
  <c r="R32"/>
  <c r="R52" s="1"/>
  <c r="R74" s="1"/>
  <c r="R30"/>
  <c r="R50" s="1"/>
  <c r="R72" s="1"/>
  <c r="R31"/>
  <c r="R51" s="1"/>
  <c r="R73" s="1"/>
  <c r="S13"/>
  <c r="R28"/>
  <c r="N122"/>
  <c r="N141"/>
  <c r="N139"/>
  <c r="N148"/>
  <c r="N145"/>
  <c r="N143"/>
  <c r="N125"/>
  <c r="N129"/>
  <c r="O149" l="1"/>
  <c r="O124"/>
  <c r="O141"/>
  <c r="O122"/>
  <c r="R60"/>
  <c r="O145"/>
  <c r="O128"/>
  <c r="O136"/>
  <c r="O139"/>
  <c r="O120"/>
  <c r="N152"/>
  <c r="R59"/>
  <c r="S20"/>
  <c r="S32"/>
  <c r="S52" s="1"/>
  <c r="S74" s="1"/>
  <c r="S29"/>
  <c r="S49" s="1"/>
  <c r="S71" s="1"/>
  <c r="S28"/>
  <c r="S30"/>
  <c r="S50" s="1"/>
  <c r="S72" s="1"/>
  <c r="T13"/>
  <c r="S31"/>
  <c r="S51" s="1"/>
  <c r="S73" s="1"/>
  <c r="Q54"/>
  <c r="Q70"/>
  <c r="P76"/>
  <c r="P87"/>
  <c r="P112"/>
  <c r="P99"/>
  <c r="P96"/>
  <c r="P108"/>
  <c r="P88"/>
  <c r="P106"/>
  <c r="P90"/>
  <c r="P101"/>
  <c r="P107"/>
  <c r="P97"/>
  <c r="P134" s="1"/>
  <c r="P94"/>
  <c r="P89"/>
  <c r="P84"/>
  <c r="P109"/>
  <c r="P110"/>
  <c r="P95"/>
  <c r="P102"/>
  <c r="P93"/>
  <c r="P85"/>
  <c r="P100"/>
  <c r="P83"/>
  <c r="P103"/>
  <c r="P82"/>
  <c r="P119" s="1"/>
  <c r="P98"/>
  <c r="P86"/>
  <c r="P91"/>
  <c r="P128" s="1"/>
  <c r="P111"/>
  <c r="P148" s="1"/>
  <c r="P92"/>
  <c r="P104"/>
  <c r="P105"/>
  <c r="P113"/>
  <c r="R48"/>
  <c r="R34"/>
  <c r="Q58"/>
  <c r="P64"/>
  <c r="R61"/>
  <c r="O130"/>
  <c r="O125"/>
  <c r="O146"/>
  <c r="O143"/>
  <c r="O147"/>
  <c r="O138"/>
  <c r="O140"/>
  <c r="O129"/>
  <c r="O127"/>
  <c r="O150"/>
  <c r="R62"/>
  <c r="O123"/>
  <c r="O131"/>
  <c r="O121"/>
  <c r="O148"/>
  <c r="O132"/>
  <c r="S59" l="1"/>
  <c r="P126"/>
  <c r="S62"/>
  <c r="P125"/>
  <c r="P142"/>
  <c r="P140"/>
  <c r="P130"/>
  <c r="P146"/>
  <c r="P136"/>
  <c r="S61"/>
  <c r="P139"/>
  <c r="O152"/>
  <c r="P150"/>
  <c r="P122"/>
  <c r="P127"/>
  <c r="P133"/>
  <c r="Q64"/>
  <c r="R58"/>
  <c r="T30"/>
  <c r="T50" s="1"/>
  <c r="T72" s="1"/>
  <c r="T20"/>
  <c r="T29"/>
  <c r="T49" s="1"/>
  <c r="T71" s="1"/>
  <c r="T32"/>
  <c r="T52" s="1"/>
  <c r="T74" s="1"/>
  <c r="T31"/>
  <c r="T51" s="1"/>
  <c r="T73" s="1"/>
  <c r="T28"/>
  <c r="U13"/>
  <c r="R70"/>
  <c r="R54"/>
  <c r="P143"/>
  <c r="P131"/>
  <c r="S60"/>
  <c r="P129"/>
  <c r="P135"/>
  <c r="P137"/>
  <c r="P132"/>
  <c r="P138"/>
  <c r="P145"/>
  <c r="P124"/>
  <c r="Q76"/>
  <c r="Q85"/>
  <c r="Q90"/>
  <c r="Q107"/>
  <c r="Q102"/>
  <c r="Q86"/>
  <c r="Q123" s="1"/>
  <c r="Q84"/>
  <c r="Q104"/>
  <c r="Q93"/>
  <c r="Q83"/>
  <c r="Q113"/>
  <c r="Q91"/>
  <c r="Q108"/>
  <c r="Q94"/>
  <c r="Q109"/>
  <c r="Q100"/>
  <c r="Q99"/>
  <c r="Q98"/>
  <c r="Q96"/>
  <c r="Q88"/>
  <c r="Q111"/>
  <c r="Q95"/>
  <c r="Q132" s="1"/>
  <c r="Q106"/>
  <c r="Q97"/>
  <c r="Q92"/>
  <c r="Q82"/>
  <c r="Q119" s="1"/>
  <c r="Q89"/>
  <c r="Q103"/>
  <c r="Q105"/>
  <c r="Q101"/>
  <c r="Q110"/>
  <c r="Q147" s="1"/>
  <c r="Q87"/>
  <c r="Q112"/>
  <c r="Q149" s="1"/>
  <c r="S34"/>
  <c r="S48"/>
  <c r="P147"/>
  <c r="P141"/>
  <c r="P123"/>
  <c r="P120"/>
  <c r="P121"/>
  <c r="P144"/>
  <c r="P149"/>
  <c r="Q131" l="1"/>
  <c r="Q146"/>
  <c r="T62"/>
  <c r="Q140"/>
  <c r="Q126"/>
  <c r="Q143"/>
  <c r="Q150"/>
  <c r="T61"/>
  <c r="T60"/>
  <c r="Q129"/>
  <c r="Q145"/>
  <c r="Q142"/>
  <c r="P152"/>
  <c r="Q138"/>
  <c r="Q135"/>
  <c r="Q122"/>
  <c r="R99"/>
  <c r="R86"/>
  <c r="R97"/>
  <c r="R76"/>
  <c r="R104"/>
  <c r="R85"/>
  <c r="R98"/>
  <c r="R135" s="1"/>
  <c r="R89"/>
  <c r="R91"/>
  <c r="R102"/>
  <c r="R107"/>
  <c r="R108"/>
  <c r="R106"/>
  <c r="R109"/>
  <c r="R103"/>
  <c r="R92"/>
  <c r="R101"/>
  <c r="R83"/>
  <c r="R96"/>
  <c r="R111"/>
  <c r="R93"/>
  <c r="R88"/>
  <c r="R95"/>
  <c r="R82"/>
  <c r="R119" s="1"/>
  <c r="R112"/>
  <c r="R100"/>
  <c r="R113"/>
  <c r="R87"/>
  <c r="R110"/>
  <c r="R105"/>
  <c r="R90"/>
  <c r="R94"/>
  <c r="R84"/>
  <c r="S58"/>
  <c r="R64"/>
  <c r="Q120"/>
  <c r="Q133"/>
  <c r="Q121"/>
  <c r="Q127"/>
  <c r="Q124"/>
  <c r="Q134"/>
  <c r="Q125"/>
  <c r="Q137"/>
  <c r="Q128"/>
  <c r="Q141"/>
  <c r="Q144"/>
  <c r="U20"/>
  <c r="U30"/>
  <c r="U50" s="1"/>
  <c r="U72" s="1"/>
  <c r="V13"/>
  <c r="U28"/>
  <c r="U29"/>
  <c r="U49" s="1"/>
  <c r="U71" s="1"/>
  <c r="U31"/>
  <c r="U51" s="1"/>
  <c r="U73" s="1"/>
  <c r="U32"/>
  <c r="U52" s="1"/>
  <c r="U74" s="1"/>
  <c r="S54"/>
  <c r="S70"/>
  <c r="T34"/>
  <c r="T48"/>
  <c r="Q148"/>
  <c r="Q136"/>
  <c r="Q130"/>
  <c r="Q139"/>
  <c r="T59"/>
  <c r="U60" l="1"/>
  <c r="U59"/>
  <c r="R146"/>
  <c r="R127"/>
  <c r="R125"/>
  <c r="R120"/>
  <c r="U62"/>
  <c r="Q152"/>
  <c r="R121"/>
  <c r="R147"/>
  <c r="R149"/>
  <c r="R130"/>
  <c r="R138"/>
  <c r="R143"/>
  <c r="R128"/>
  <c r="R141"/>
  <c r="R136"/>
  <c r="U34"/>
  <c r="U48"/>
  <c r="S86"/>
  <c r="S111"/>
  <c r="S90"/>
  <c r="S97"/>
  <c r="S105"/>
  <c r="S92"/>
  <c r="S98"/>
  <c r="S101"/>
  <c r="S107"/>
  <c r="S96"/>
  <c r="S89"/>
  <c r="S83"/>
  <c r="S106"/>
  <c r="S143" s="1"/>
  <c r="S113"/>
  <c r="S82"/>
  <c r="S119" s="1"/>
  <c r="S76"/>
  <c r="S93"/>
  <c r="S91"/>
  <c r="S94"/>
  <c r="S87"/>
  <c r="S124" s="1"/>
  <c r="S112"/>
  <c r="S85"/>
  <c r="S100"/>
  <c r="S102"/>
  <c r="S139" s="1"/>
  <c r="S88"/>
  <c r="S84"/>
  <c r="S109"/>
  <c r="S95"/>
  <c r="S108"/>
  <c r="S145" s="1"/>
  <c r="S104"/>
  <c r="S99"/>
  <c r="S136" s="1"/>
  <c r="S103"/>
  <c r="S140" s="1"/>
  <c r="S110"/>
  <c r="T58"/>
  <c r="S64"/>
  <c r="R137"/>
  <c r="R122"/>
  <c r="R150"/>
  <c r="R132"/>
  <c r="R133"/>
  <c r="R140"/>
  <c r="R144"/>
  <c r="R134"/>
  <c r="T54"/>
  <c r="T70"/>
  <c r="V31"/>
  <c r="V51" s="1"/>
  <c r="V73" s="1"/>
  <c r="W13"/>
  <c r="V20"/>
  <c r="V32"/>
  <c r="V52" s="1"/>
  <c r="V74" s="1"/>
  <c r="V29"/>
  <c r="V49" s="1"/>
  <c r="V71" s="1"/>
  <c r="V30"/>
  <c r="V50" s="1"/>
  <c r="V72" s="1"/>
  <c r="V28"/>
  <c r="R142"/>
  <c r="R139"/>
  <c r="R123"/>
  <c r="U61"/>
  <c r="R131"/>
  <c r="R124"/>
  <c r="R148"/>
  <c r="R129"/>
  <c r="R145"/>
  <c r="R126"/>
  <c r="V59" l="1"/>
  <c r="S134"/>
  <c r="V61"/>
  <c r="S149"/>
  <c r="S130"/>
  <c r="R152"/>
  <c r="S146"/>
  <c r="S131"/>
  <c r="S126"/>
  <c r="S135"/>
  <c r="U54"/>
  <c r="U70"/>
  <c r="S137"/>
  <c r="S132"/>
  <c r="S120"/>
  <c r="S138"/>
  <c r="V60"/>
  <c r="S147"/>
  <c r="S125"/>
  <c r="S144"/>
  <c r="S142"/>
  <c r="S123"/>
  <c r="V34"/>
  <c r="V48"/>
  <c r="T102"/>
  <c r="T112"/>
  <c r="T98"/>
  <c r="T88"/>
  <c r="T100"/>
  <c r="T83"/>
  <c r="T92"/>
  <c r="T106"/>
  <c r="T104"/>
  <c r="T86"/>
  <c r="T110"/>
  <c r="T105"/>
  <c r="T76"/>
  <c r="T84"/>
  <c r="T121" s="1"/>
  <c r="T96"/>
  <c r="T94"/>
  <c r="T99"/>
  <c r="T109"/>
  <c r="T113"/>
  <c r="T91"/>
  <c r="T111"/>
  <c r="T85"/>
  <c r="T122" s="1"/>
  <c r="T103"/>
  <c r="T82"/>
  <c r="T119" s="1"/>
  <c r="T87"/>
  <c r="T89"/>
  <c r="T126" s="1"/>
  <c r="T97"/>
  <c r="T134" s="1"/>
  <c r="T101"/>
  <c r="T107"/>
  <c r="T144" s="1"/>
  <c r="T90"/>
  <c r="T127" s="1"/>
  <c r="T108"/>
  <c r="T93"/>
  <c r="T95"/>
  <c r="T132" s="1"/>
  <c r="W20"/>
  <c r="X13"/>
  <c r="W31"/>
  <c r="W51" s="1"/>
  <c r="W73" s="1"/>
  <c r="W30"/>
  <c r="W50" s="1"/>
  <c r="W72" s="1"/>
  <c r="W32"/>
  <c r="W52" s="1"/>
  <c r="W74" s="1"/>
  <c r="W29"/>
  <c r="W49" s="1"/>
  <c r="W71" s="1"/>
  <c r="W28"/>
  <c r="T64"/>
  <c r="U58"/>
  <c r="S127"/>
  <c r="V62"/>
  <c r="S141"/>
  <c r="S121"/>
  <c r="S122"/>
  <c r="S128"/>
  <c r="S150"/>
  <c r="S133"/>
  <c r="S129"/>
  <c r="S148"/>
  <c r="W59" l="1"/>
  <c r="W61"/>
  <c r="T145"/>
  <c r="T140"/>
  <c r="T129"/>
  <c r="T146"/>
  <c r="T120"/>
  <c r="T149"/>
  <c r="T133"/>
  <c r="T138"/>
  <c r="S152"/>
  <c r="U64"/>
  <c r="V58"/>
  <c r="U89"/>
  <c r="U106"/>
  <c r="U104"/>
  <c r="U86"/>
  <c r="U101"/>
  <c r="U76"/>
  <c r="U84"/>
  <c r="U93"/>
  <c r="U98"/>
  <c r="U87"/>
  <c r="U105"/>
  <c r="U142" s="1"/>
  <c r="U92"/>
  <c r="U97"/>
  <c r="U82"/>
  <c r="U119" s="1"/>
  <c r="U99"/>
  <c r="U90"/>
  <c r="U95"/>
  <c r="U85"/>
  <c r="U96"/>
  <c r="U103"/>
  <c r="U100"/>
  <c r="U110"/>
  <c r="U109"/>
  <c r="U83"/>
  <c r="U107"/>
  <c r="U113"/>
  <c r="U88"/>
  <c r="U108"/>
  <c r="U91"/>
  <c r="U111"/>
  <c r="U148" s="1"/>
  <c r="U102"/>
  <c r="U112"/>
  <c r="U94"/>
  <c r="W34"/>
  <c r="W48"/>
  <c r="V54"/>
  <c r="V70"/>
  <c r="T123"/>
  <c r="T150"/>
  <c r="T135"/>
  <c r="T130"/>
  <c r="T128"/>
  <c r="T131"/>
  <c r="T142"/>
  <c r="T143"/>
  <c r="T125"/>
  <c r="X20"/>
  <c r="X32"/>
  <c r="X52" s="1"/>
  <c r="X74" s="1"/>
  <c r="X31"/>
  <c r="X51" s="1"/>
  <c r="X73" s="1"/>
  <c r="X29"/>
  <c r="X49" s="1"/>
  <c r="X71" s="1"/>
  <c r="Y13"/>
  <c r="X28"/>
  <c r="X30"/>
  <c r="X50" s="1"/>
  <c r="X72" s="1"/>
  <c r="T147"/>
  <c r="W62"/>
  <c r="T124"/>
  <c r="T148"/>
  <c r="T136"/>
  <c r="T141"/>
  <c r="T137"/>
  <c r="T139"/>
  <c r="W60"/>
  <c r="X62" l="1"/>
  <c r="U146"/>
  <c r="U139"/>
  <c r="U133"/>
  <c r="U136"/>
  <c r="U121"/>
  <c r="U141"/>
  <c r="U127"/>
  <c r="U125"/>
  <c r="T152"/>
  <c r="U149"/>
  <c r="U145"/>
  <c r="U120"/>
  <c r="U129"/>
  <c r="U123"/>
  <c r="U144"/>
  <c r="V64"/>
  <c r="W58"/>
  <c r="Y30"/>
  <c r="Z30" s="1"/>
  <c r="Z72" s="1"/>
  <c r="Y32"/>
  <c r="Z32" s="1"/>
  <c r="Z74" s="1"/>
  <c r="Y29"/>
  <c r="Z29" s="1"/>
  <c r="Z71" s="1"/>
  <c r="Y31"/>
  <c r="Z31" s="1"/>
  <c r="Z73" s="1"/>
  <c r="Y21"/>
  <c r="Y28"/>
  <c r="V91"/>
  <c r="V83"/>
  <c r="V109"/>
  <c r="V92"/>
  <c r="V95"/>
  <c r="V98"/>
  <c r="V103"/>
  <c r="V89"/>
  <c r="V104"/>
  <c r="V105"/>
  <c r="V97"/>
  <c r="V112"/>
  <c r="V85"/>
  <c r="V96"/>
  <c r="V84"/>
  <c r="V88"/>
  <c r="V110"/>
  <c r="V111"/>
  <c r="V99"/>
  <c r="V86"/>
  <c r="V76"/>
  <c r="V106"/>
  <c r="V108"/>
  <c r="V90"/>
  <c r="V127" s="1"/>
  <c r="V94"/>
  <c r="V113"/>
  <c r="V101"/>
  <c r="V100"/>
  <c r="V102"/>
  <c r="V82"/>
  <c r="V119" s="1"/>
  <c r="V87"/>
  <c r="V124" s="1"/>
  <c r="V93"/>
  <c r="V130" s="1"/>
  <c r="V107"/>
  <c r="U140"/>
  <c r="U130"/>
  <c r="X60"/>
  <c r="U128"/>
  <c r="U137"/>
  <c r="U132"/>
  <c r="U134"/>
  <c r="U135"/>
  <c r="U138"/>
  <c r="U126"/>
  <c r="W54"/>
  <c r="W70"/>
  <c r="X34"/>
  <c r="X48"/>
  <c r="X61"/>
  <c r="U131"/>
  <c r="X59"/>
  <c r="U150"/>
  <c r="U147"/>
  <c r="U122"/>
  <c r="U124"/>
  <c r="U143"/>
  <c r="V138" l="1"/>
  <c r="V143"/>
  <c r="V150"/>
  <c r="V135"/>
  <c r="U152"/>
  <c r="V144"/>
  <c r="V139"/>
  <c r="V131"/>
  <c r="V147"/>
  <c r="V122"/>
  <c r="V141"/>
  <c r="V128"/>
  <c r="V137"/>
  <c r="W111"/>
  <c r="W105"/>
  <c r="W103"/>
  <c r="W96"/>
  <c r="W91"/>
  <c r="W76"/>
  <c r="W97"/>
  <c r="W85"/>
  <c r="W88"/>
  <c r="W101"/>
  <c r="W113"/>
  <c r="W108"/>
  <c r="W100"/>
  <c r="W93"/>
  <c r="W106"/>
  <c r="W99"/>
  <c r="W90"/>
  <c r="W98"/>
  <c r="W135" s="1"/>
  <c r="W94"/>
  <c r="W110"/>
  <c r="W92"/>
  <c r="W129" s="1"/>
  <c r="W95"/>
  <c r="W112"/>
  <c r="W109"/>
  <c r="W146" s="1"/>
  <c r="W87"/>
  <c r="W82"/>
  <c r="W119" s="1"/>
  <c r="W89"/>
  <c r="W104"/>
  <c r="W84"/>
  <c r="W107"/>
  <c r="W144" s="1"/>
  <c r="W102"/>
  <c r="W86"/>
  <c r="W123" s="1"/>
  <c r="W83"/>
  <c r="W64"/>
  <c r="X58"/>
  <c r="X64" s="1"/>
  <c r="X54"/>
  <c r="X70"/>
  <c r="AB74"/>
  <c r="AA74" s="1"/>
  <c r="Z21"/>
  <c r="AB72"/>
  <c r="AA72" s="1"/>
  <c r="AB71"/>
  <c r="AA71" s="1"/>
  <c r="AB70"/>
  <c r="AA70" s="1"/>
  <c r="AB73"/>
  <c r="AA73" s="1"/>
  <c r="V132"/>
  <c r="V148"/>
  <c r="V142"/>
  <c r="V120"/>
  <c r="V145"/>
  <c r="V136"/>
  <c r="V121"/>
  <c r="V134"/>
  <c r="V140"/>
  <c r="V146"/>
  <c r="Y34"/>
  <c r="Z28"/>
  <c r="V133"/>
  <c r="V123"/>
  <c r="V125"/>
  <c r="V149"/>
  <c r="V126"/>
  <c r="V129"/>
  <c r="W132" l="1"/>
  <c r="W142"/>
  <c r="W134"/>
  <c r="W120"/>
  <c r="W121"/>
  <c r="W124"/>
  <c r="W127"/>
  <c r="W137"/>
  <c r="W148"/>
  <c r="V152"/>
  <c r="W141"/>
  <c r="X107"/>
  <c r="X83"/>
  <c r="X113"/>
  <c r="X106"/>
  <c r="X112"/>
  <c r="X100"/>
  <c r="X76"/>
  <c r="X102"/>
  <c r="X109"/>
  <c r="X85"/>
  <c r="X89"/>
  <c r="X96"/>
  <c r="X98"/>
  <c r="X135" s="1"/>
  <c r="X97"/>
  <c r="X95"/>
  <c r="X101"/>
  <c r="X110"/>
  <c r="X147" s="1"/>
  <c r="X86"/>
  <c r="X123" s="1"/>
  <c r="X111"/>
  <c r="X87"/>
  <c r="X90"/>
  <c r="X99"/>
  <c r="X104"/>
  <c r="X88"/>
  <c r="X125" s="1"/>
  <c r="X108"/>
  <c r="X145" s="1"/>
  <c r="X91"/>
  <c r="X103"/>
  <c r="X140" s="1"/>
  <c r="X105"/>
  <c r="X84"/>
  <c r="X121" s="1"/>
  <c r="X94"/>
  <c r="X82"/>
  <c r="X119" s="1"/>
  <c r="X92"/>
  <c r="X93"/>
  <c r="W125"/>
  <c r="AA76"/>
  <c r="W138"/>
  <c r="W139"/>
  <c r="W126"/>
  <c r="W149"/>
  <c r="W131"/>
  <c r="W143"/>
  <c r="W150"/>
  <c r="W140"/>
  <c r="Z34"/>
  <c r="Z70"/>
  <c r="W128"/>
  <c r="W130"/>
  <c r="W147"/>
  <c r="W136"/>
  <c r="W145"/>
  <c r="W122"/>
  <c r="W133"/>
  <c r="X144" l="1"/>
  <c r="X130"/>
  <c r="X127"/>
  <c r="X149"/>
  <c r="X134"/>
  <c r="X120"/>
  <c r="X142"/>
  <c r="X133"/>
  <c r="W152"/>
  <c r="Z109"/>
  <c r="Z98"/>
  <c r="Z113"/>
  <c r="Z85"/>
  <c r="Z97"/>
  <c r="Z104"/>
  <c r="Z112"/>
  <c r="Z93"/>
  <c r="Z106"/>
  <c r="Z108"/>
  <c r="Z95"/>
  <c r="Z94"/>
  <c r="Z131" s="1"/>
  <c r="Z84"/>
  <c r="Z103"/>
  <c r="Z105"/>
  <c r="Z100"/>
  <c r="Z111"/>
  <c r="Z89"/>
  <c r="Z102"/>
  <c r="Z76"/>
  <c r="Z87"/>
  <c r="Z88"/>
  <c r="Z90"/>
  <c r="Z96"/>
  <c r="Z101"/>
  <c r="Z110"/>
  <c r="Z91"/>
  <c r="Z128" s="1"/>
  <c r="Z83"/>
  <c r="Z99"/>
  <c r="Z136" s="1"/>
  <c r="Z82"/>
  <c r="Z119" s="1"/>
  <c r="Z86"/>
  <c r="Z92"/>
  <c r="Z107"/>
  <c r="Z144" s="1"/>
  <c r="X146"/>
  <c r="X136"/>
  <c r="X122"/>
  <c r="X141"/>
  <c r="X148"/>
  <c r="X132"/>
  <c r="X126"/>
  <c r="X150"/>
  <c r="X131"/>
  <c r="X128"/>
  <c r="X137"/>
  <c r="X129"/>
  <c r="X124"/>
  <c r="X138"/>
  <c r="X139"/>
  <c r="X143"/>
  <c r="Z124" l="1"/>
  <c r="Z148"/>
  <c r="Z143"/>
  <c r="Z146"/>
  <c r="Z133"/>
  <c r="Z121"/>
  <c r="Z140"/>
  <c r="X152"/>
  <c r="Z138"/>
  <c r="Z134"/>
  <c r="Z123"/>
  <c r="Z132"/>
  <c r="Z125"/>
  <c r="Z141"/>
  <c r="Z139"/>
  <c r="Z142"/>
  <c r="Z149"/>
  <c r="Z150"/>
  <c r="Z147"/>
  <c r="Z126"/>
  <c r="Z145"/>
  <c r="Z135"/>
  <c r="Z127"/>
  <c r="Z129"/>
  <c r="Z120"/>
  <c r="Z137"/>
  <c r="Z130"/>
  <c r="Z122"/>
  <c r="Z153" l="1"/>
  <c r="E153" s="1"/>
  <c r="F153" s="1"/>
  <c r="G153" s="1"/>
  <c r="H153" s="1"/>
  <c r="I153" s="1"/>
  <c r="J153" s="1"/>
  <c r="K153" s="1"/>
  <c r="L153" s="1"/>
  <c r="M153" s="1"/>
  <c r="N153" s="1"/>
  <c r="O153" s="1"/>
  <c r="P153" s="1"/>
  <c r="Q153" s="1"/>
  <c r="R153" s="1"/>
  <c r="S153" s="1"/>
  <c r="T153" s="1"/>
  <c r="U153" s="1"/>
  <c r="V153" s="1"/>
  <c r="W153" s="1"/>
  <c r="X153" s="1"/>
</calcChain>
</file>

<file path=xl/comments1.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8"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8"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8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8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2.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8"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8"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8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8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3.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8"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8"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8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8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4.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8"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8"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8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8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5.xml><?xml version="1.0" encoding="utf-8"?>
<comments xmlns="http://schemas.openxmlformats.org/spreadsheetml/2006/main">
  <authors>
    <author>Charlie Grist</author>
  </authors>
  <commentList>
    <comment ref="Y25" authorId="0">
      <text>
        <r>
          <rPr>
            <b/>
            <sz val="9"/>
            <color indexed="81"/>
            <rFont val="Tahoma"/>
            <family val="2"/>
          </rPr>
          <t>Charlie Grist:</t>
        </r>
        <r>
          <rPr>
            <sz val="9"/>
            <color indexed="81"/>
            <rFont val="Tahoma"/>
            <family val="2"/>
          </rPr>
          <t xml:space="preserve">
No incremental labor in NR case.  Assume end of life replacement at butrnout of existing lamp.</t>
        </r>
      </text>
    </comment>
  </commentList>
</comments>
</file>

<file path=xl/comments6.xml><?xml version="1.0" encoding="utf-8"?>
<comments xmlns="http://schemas.openxmlformats.org/spreadsheetml/2006/main">
  <authors>
    <author>Charlie Grist</author>
  </authors>
  <commentList>
    <comment ref="A35" authorId="0">
      <text>
        <r>
          <rPr>
            <b/>
            <sz val="9"/>
            <color indexed="81"/>
            <rFont val="Tahoma"/>
            <family val="2"/>
          </rPr>
          <t>Charlie Grist:</t>
        </r>
        <r>
          <rPr>
            <sz val="9"/>
            <color indexed="81"/>
            <rFont val="Tahoma"/>
            <family val="2"/>
          </rPr>
          <t xml:space="preserve">
PNL Inventory plus Council Update
and induvidual jurisdiction reports.</t>
        </r>
      </text>
    </comment>
  </commentList>
</comments>
</file>

<file path=xl/comments7.xml><?xml version="1.0" encoding="utf-8"?>
<comments xmlns="http://schemas.openxmlformats.org/spreadsheetml/2006/main">
  <authors>
    <author>Charlie Grist</author>
  </authors>
  <commentList>
    <comment ref="H6" authorId="0">
      <text>
        <r>
          <rPr>
            <b/>
            <sz val="9"/>
            <color indexed="81"/>
            <rFont val="Tahoma"/>
            <family val="2"/>
          </rPr>
          <t>Charlie Grist:</t>
        </r>
        <r>
          <rPr>
            <sz val="9"/>
            <color indexed="81"/>
            <rFont val="Tahoma"/>
            <family val="2"/>
          </rPr>
          <t xml:space="preserve">
From: Regressions on PNL survey and others, reference 4.  See workbook from Maggie L. Reference #7</t>
        </r>
      </text>
    </comment>
    <comment ref="I8" authorId="0">
      <text>
        <r>
          <rPr>
            <b/>
            <sz val="9"/>
            <color indexed="81"/>
            <rFont val="Tahoma"/>
            <family val="2"/>
          </rPr>
          <t>Charlie Grist:</t>
        </r>
        <r>
          <rPr>
            <sz val="9"/>
            <color indexed="81"/>
            <rFont val="Tahoma"/>
            <family val="2"/>
          </rPr>
          <t xml:space="preserve">
Estimate. Some surveyed were state-owned highway luminaires.  This estimate was adjusted to align with the regression analysis the Council performed for total muni streetlights.  See memo from Maggie Lahet.</t>
        </r>
      </text>
    </comment>
    <comment ref="H11" authorId="0">
      <text>
        <r>
          <rPr>
            <b/>
            <sz val="9"/>
            <color indexed="81"/>
            <rFont val="Tahoma"/>
            <family val="2"/>
          </rPr>
          <t>Charlie Grist:</t>
        </r>
        <r>
          <rPr>
            <sz val="9"/>
            <color indexed="81"/>
            <rFont val="Tahoma"/>
            <family val="2"/>
          </rPr>
          <t xml:space="preserve">
From City of Portland Schedule wityh PGE.  See 6P City of Portland workbook. Also Tacoma</t>
        </r>
      </text>
    </comment>
    <comment ref="O14" authorId="0">
      <text>
        <r>
          <rPr>
            <b/>
            <sz val="9"/>
            <color indexed="81"/>
            <rFont val="Tahoma"/>
            <family val="2"/>
          </rPr>
          <t>Charlie Grist:</t>
        </r>
        <r>
          <rPr>
            <sz val="9"/>
            <color indexed="81"/>
            <rFont val="Tahoma"/>
            <family val="2"/>
          </rPr>
          <t xml:space="preserve">
Range 5 to 10 million per Bruce K.</t>
        </r>
      </text>
    </comment>
    <comment ref="H16" authorId="0">
      <text>
        <r>
          <rPr>
            <b/>
            <sz val="9"/>
            <color indexed="81"/>
            <rFont val="Tahoma"/>
            <family val="2"/>
          </rPr>
          <t>Charlie Grist:</t>
        </r>
        <r>
          <rPr>
            <sz val="9"/>
            <color indexed="81"/>
            <rFont val="Tahoma"/>
            <family val="2"/>
          </rPr>
          <t xml:space="preserve">
Reference 1.  PNL 2014. By count.  Use low end of range.</t>
        </r>
      </text>
    </comment>
    <comment ref="H17" authorId="0">
      <text>
        <r>
          <rPr>
            <b/>
            <sz val="9"/>
            <color indexed="81"/>
            <rFont val="Tahoma"/>
            <family val="2"/>
          </rPr>
          <t>Charlie Grist:</t>
        </r>
        <r>
          <rPr>
            <sz val="9"/>
            <color indexed="81"/>
            <rFont val="Tahoma"/>
            <family val="2"/>
          </rPr>
          <t xml:space="preserve">
Based on 400 W HID per PGE schedule and Tacoma</t>
        </r>
      </text>
    </comment>
    <comment ref="H21" authorId="0">
      <text>
        <r>
          <rPr>
            <b/>
            <sz val="9"/>
            <color indexed="81"/>
            <rFont val="Tahoma"/>
            <family val="2"/>
          </rPr>
          <t>Charlie Grist:</t>
        </r>
        <r>
          <rPr>
            <sz val="9"/>
            <color indexed="81"/>
            <rFont val="Tahoma"/>
            <family val="2"/>
          </rPr>
          <t xml:space="preserve">
This estimate drives the units model.  Note this is almost half of the Navigant sharedown estimate</t>
        </r>
      </text>
    </comment>
    <comment ref="D24" authorId="0">
      <text>
        <r>
          <rPr>
            <b/>
            <sz val="9"/>
            <color indexed="81"/>
            <rFont val="Tahoma"/>
            <family val="2"/>
          </rPr>
          <t>Charlie Grist:</t>
        </r>
        <r>
          <rPr>
            <sz val="9"/>
            <color indexed="81"/>
            <rFont val="Tahoma"/>
            <family val="2"/>
          </rPr>
          <t xml:space="preserve">
Based on estimate of unmetered &amp; not on SL schedule</t>
        </r>
      </text>
    </comment>
    <comment ref="H27" authorId="0">
      <text>
        <r>
          <rPr>
            <b/>
            <sz val="9"/>
            <color indexed="81"/>
            <rFont val="Tahoma"/>
            <family val="2"/>
          </rPr>
          <t>Charlie Grist:</t>
        </r>
        <r>
          <rPr>
            <sz val="9"/>
            <color indexed="81"/>
            <rFont val="Tahoma"/>
            <family val="2"/>
          </rPr>
          <t xml:space="preserve">
This is a pre-LED conversion estimate for calibration.</t>
        </r>
      </text>
    </comment>
  </commentList>
</comments>
</file>

<file path=xl/comments8.xml><?xml version="1.0" encoding="utf-8"?>
<comments xmlns="http://schemas.openxmlformats.org/spreadsheetml/2006/main">
  <authors>
    <author>Charlie Grist</author>
  </authors>
  <commentList>
    <comment ref="T14" authorId="0">
      <text>
        <r>
          <rPr>
            <b/>
            <sz val="8"/>
            <color indexed="81"/>
            <rFont val="Tahoma"/>
            <family val="2"/>
          </rPr>
          <t>Charlie Grist:</t>
        </r>
        <r>
          <rPr>
            <sz val="8"/>
            <color indexed="81"/>
            <rFont val="Tahoma"/>
            <family val="2"/>
          </rPr>
          <t xml:space="preserve">
Mo
st of this is residential and over 200 mills per kWh</t>
        </r>
      </text>
    </comment>
    <comment ref="T15" authorId="0">
      <text>
        <r>
          <rPr>
            <b/>
            <sz val="8"/>
            <color indexed="81"/>
            <rFont val="Tahoma"/>
            <family val="2"/>
          </rPr>
          <t>Charlie Grist:</t>
        </r>
        <r>
          <rPr>
            <sz val="8"/>
            <color indexed="81"/>
            <rFont val="Tahoma"/>
            <family val="2"/>
          </rPr>
          <t xml:space="preserve">
WalMart is done</t>
        </r>
      </text>
    </comment>
    <comment ref="K33" authorId="0">
      <text>
        <r>
          <rPr>
            <b/>
            <sz val="8"/>
            <color indexed="81"/>
            <rFont val="Tahoma"/>
            <family val="2"/>
          </rPr>
          <t>Charlie Grist:</t>
        </r>
        <r>
          <rPr>
            <sz val="8"/>
            <color indexed="81"/>
            <rFont val="Tahoma"/>
            <family val="2"/>
          </rPr>
          <t xml:space="preserve">
Seems low
</t>
        </r>
      </text>
    </comment>
  </commentList>
</comments>
</file>

<file path=xl/sharedStrings.xml><?xml version="1.0" encoding="utf-8"?>
<sst xmlns="http://schemas.openxmlformats.org/spreadsheetml/2006/main" count="4285" uniqueCount="1022">
  <si>
    <t>Measure:</t>
  </si>
  <si>
    <t>Item</t>
  </si>
  <si>
    <t>Methods &amp; Sources</t>
  </si>
  <si>
    <t>7P Updates</t>
  </si>
  <si>
    <t>Measures Described</t>
  </si>
  <si>
    <t>Energy Savings Calculation Basis</t>
  </si>
  <si>
    <t>Applicable Stock</t>
  </si>
  <si>
    <t>Baseline Saturation</t>
  </si>
  <si>
    <t>Measure Life</t>
  </si>
  <si>
    <t>Achievability Ramp Rate</t>
  </si>
  <si>
    <t>Data Set Name</t>
  </si>
  <si>
    <t>Measure Index Name</t>
  </si>
  <si>
    <t>Costs must be denominated in the same year as 'Input Cost Reference Year' =</t>
  </si>
  <si>
    <t>Input Data</t>
  </si>
  <si>
    <t>Periodic Replacement Costs and Savings and Replacement Period</t>
  </si>
  <si>
    <t>Gas Inputs</t>
  </si>
  <si>
    <t>Retro or LO</t>
  </si>
  <si>
    <t>Early Retrofit Parameters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</si>
  <si>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</si>
  <si>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</si>
  <si>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</si>
  <si>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</si>
  <si>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</si>
  <si>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</si>
  <si>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</si>
  <si>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</si>
  <si>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</si>
  <si>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</si>
  <si>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</si>
  <si>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</si>
  <si>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</si>
  <si>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</si>
  <si>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</si>
  <si>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R or L</t>
  </si>
  <si>
    <t>Savings 2
(kWh)</t>
  </si>
  <si>
    <t>Remaining
Life (yrs)</t>
  </si>
  <si>
    <t>Salvage Value ($)</t>
  </si>
  <si>
    <t>New</t>
  </si>
  <si>
    <t>MOPP</t>
  </si>
  <si>
    <t>From</t>
  </si>
  <si>
    <t>To</t>
  </si>
  <si>
    <t>Application</t>
  </si>
  <si>
    <t>Lamp Life Pre</t>
  </si>
  <si>
    <t>Lamp Life Post</t>
  </si>
  <si>
    <t>Annual Hours</t>
  </si>
  <si>
    <t>Tariff Maintenance Cost</t>
  </si>
  <si>
    <t>Avoided Relamp Cost 1 ($)</t>
  </si>
  <si>
    <t xml:space="preserve">Avoided Relamp Cycle (Group)Period 1 </t>
  </si>
  <si>
    <t>Incremental Fixture Cost &amp; Labor</t>
  </si>
  <si>
    <t>Incremental Install Labor Cost</t>
  </si>
  <si>
    <t>Incremental Labor Hours</t>
  </si>
  <si>
    <t xml:space="preserve">Avoided Ballast Cost </t>
  </si>
  <si>
    <t>New Fixture Cost</t>
  </si>
  <si>
    <t>Baseline Fixture Cost</t>
  </si>
  <si>
    <t>Pre Watt</t>
  </si>
  <si>
    <t>Post Watt</t>
  </si>
  <si>
    <t>Delta Watt</t>
  </si>
  <si>
    <t>Fixture Cost per Watt</t>
  </si>
  <si>
    <t>Fixture Cost per Delta Watt</t>
  </si>
  <si>
    <t>Percent Savings</t>
  </si>
  <si>
    <t>null1</t>
  </si>
  <si>
    <t>Relamp Option (Group)</t>
  </si>
  <si>
    <t>HPS Lamp Change Hours (Group)</t>
  </si>
  <si>
    <t>HPS Lamp Change Labor Cost (Group)</t>
  </si>
  <si>
    <t>HPS Lamp  Cost</t>
  </si>
  <si>
    <t>null2</t>
  </si>
  <si>
    <t>MEASURE APP WT</t>
  </si>
  <si>
    <t>Fraction Wattage</t>
  </si>
  <si>
    <t>Measure Selection WT</t>
  </si>
  <si>
    <t>Relamp Selection WT</t>
  </si>
  <si>
    <t>Fixture Cost per Watt Saved</t>
  </si>
  <si>
    <t>HPS 100W</t>
  </si>
  <si>
    <t>Streetlight</t>
  </si>
  <si>
    <t>Group</t>
  </si>
  <si>
    <t>Tariff</t>
  </si>
  <si>
    <t>NR</t>
  </si>
  <si>
    <t>Labor Rate</t>
  </si>
  <si>
    <t>$/hr</t>
  </si>
  <si>
    <t>Vehicle Rate</t>
  </si>
  <si>
    <t>Total Rate</t>
  </si>
  <si>
    <t>Fixture</t>
  </si>
  <si>
    <t>Mount Height</t>
  </si>
  <si>
    <t>Luminaire Wattage</t>
  </si>
  <si>
    <t>Mean Lumen Output Photopic</t>
  </si>
  <si>
    <t>Mean Lumen Output Scotopic</t>
  </si>
  <si>
    <t>Lamps per Fixture</t>
  </si>
  <si>
    <t>Ballasts per Fixture</t>
  </si>
  <si>
    <t>Luminaire Cost $2006</t>
  </si>
  <si>
    <t>Lamp Hours</t>
  </si>
  <si>
    <t>Lamp Cost</t>
  </si>
  <si>
    <t>Total Hours</t>
  </si>
  <si>
    <t>Lamp Change Cost</t>
  </si>
  <si>
    <t>Ballast Cost</t>
  </si>
  <si>
    <t>Year of Cost Data</t>
  </si>
  <si>
    <t>Hours per Year on Photo Control</t>
  </si>
  <si>
    <t>Energy Use per Year on Photo Control</t>
  </si>
  <si>
    <t>Lamp Life in Years</t>
  </si>
  <si>
    <t>Source</t>
  </si>
  <si>
    <t>First Cost $/million-lumen-hours</t>
  </si>
  <si>
    <t>First Cost $/Watt</t>
  </si>
  <si>
    <t>Pole Mount Street Lights</t>
  </si>
  <si>
    <t>Anchorage</t>
  </si>
  <si>
    <t>Savings</t>
  </si>
  <si>
    <t>Navigant 2008</t>
  </si>
  <si>
    <t>Navigant 2002</t>
  </si>
  <si>
    <t>..\Measure Data\Lighting\SSL\City of Portland Lights Sch91FY07-08.xls</t>
  </si>
  <si>
    <t>US Luminaire Count 2007 in millions (Navigant 2008)</t>
  </si>
  <si>
    <t>Based on 2008 Study</t>
  </si>
  <si>
    <t>Based on 2002 Study</t>
  </si>
  <si>
    <t>PNW Luminaire Count in million luminiares in 2010</t>
  </si>
  <si>
    <t xml:space="preserve">These data are from City of Portland: </t>
  </si>
  <si>
    <t>Use</t>
  </si>
  <si>
    <t>Type</t>
  </si>
  <si>
    <t>Type2</t>
  </si>
  <si>
    <t>Fraction for Use</t>
  </si>
  <si>
    <t>Fraction Type</t>
  </si>
  <si>
    <t>Fraction Type2</t>
  </si>
  <si>
    <t>Fraction Total</t>
  </si>
  <si>
    <t>US Luminaires in Millions</t>
  </si>
  <si>
    <t>PNW Luminaires Based on 2008 Study</t>
  </si>
  <si>
    <t>By Population</t>
  </si>
  <si>
    <t>Street HPS Cobra Head</t>
  </si>
  <si>
    <t>Streetlight HPS &lt;400W</t>
  </si>
  <si>
    <t>Portland Fixture Count by Wattage</t>
  </si>
  <si>
    <t>Portland Luminaire Connected Wattage by Size and Type</t>
  </si>
  <si>
    <t>Sum of Total Watts</t>
  </si>
  <si>
    <t>Highway High Mast (&gt;50 feet)</t>
  </si>
  <si>
    <t>Wattage</t>
  </si>
  <si>
    <t>HPS</t>
  </si>
  <si>
    <t>MH</t>
  </si>
  <si>
    <t>MV</t>
  </si>
  <si>
    <t>(blank)</t>
  </si>
  <si>
    <t>Grand Total</t>
  </si>
  <si>
    <t>Highway Low Mast</t>
  </si>
  <si>
    <t>Highway Tunnel</t>
  </si>
  <si>
    <t>HPS Cobra Head</t>
  </si>
  <si>
    <t>LPS</t>
  </si>
  <si>
    <t>MH Cobra Head</t>
  </si>
  <si>
    <t>HPS Decorative</t>
  </si>
  <si>
    <t>Parking</t>
  </si>
  <si>
    <t>Open Parking</t>
  </si>
  <si>
    <t>Parking HPS</t>
  </si>
  <si>
    <t>Parking MH</t>
  </si>
  <si>
    <t>Parking LF</t>
  </si>
  <si>
    <t>WT Average</t>
  </si>
  <si>
    <t>weighted average wattage</t>
  </si>
  <si>
    <t>Covered Parking</t>
  </si>
  <si>
    <t>Fract &lt; 400W</t>
  </si>
  <si>
    <t>Area</t>
  </si>
  <si>
    <t>Area High Mast</t>
  </si>
  <si>
    <t>Area Low Mast</t>
  </si>
  <si>
    <t>Flood</t>
  </si>
  <si>
    <t>Flood High Mast</t>
  </si>
  <si>
    <t>Flood Low</t>
  </si>
  <si>
    <t>Total Outdoor Non-Building</t>
  </si>
  <si>
    <t>LF</t>
  </si>
  <si>
    <t>Total</t>
  </si>
  <si>
    <t>PNW</t>
  </si>
  <si>
    <t>Pop 2007</t>
  </si>
  <si>
    <t>Based on scant data from Heshohng Mahone Study 2005</t>
  </si>
  <si>
    <t>Watts Outdoor per Indoor SF</t>
  </si>
  <si>
    <t xml:space="preserve">PNW Floor Area 2010 in Million </t>
  </si>
  <si>
    <t>Total Installed Watts in MW</t>
  </si>
  <si>
    <t>Hours per Year</t>
  </si>
  <si>
    <t>Total MWa</t>
  </si>
  <si>
    <t>Based on CLTC</t>
  </si>
  <si>
    <t>CA Parking Lighting 2007</t>
  </si>
  <si>
    <t>Prorate to US</t>
  </si>
  <si>
    <t>Prorate to PNW</t>
  </si>
  <si>
    <t>Outdoor Lighting on Buildings</t>
  </si>
  <si>
    <t>GWh</t>
  </si>
  <si>
    <t>Retail, Grocery, Restaurant</t>
  </si>
  <si>
    <t>MWa</t>
  </si>
  <si>
    <t>Office and All Other</t>
  </si>
  <si>
    <t>Warehouse</t>
  </si>
  <si>
    <t>Notes and Sources</t>
  </si>
  <si>
    <t>LED Niche Report for DOE by Navigant 2008</t>
  </si>
  <si>
    <t>..\Measure Data\Lighting\SSL\NicheFinalReportSept2008.pdf</t>
  </si>
  <si>
    <t>..\Measure Data\Lighting\SSL\nichefinalreport_october2008-revised.pdf</t>
  </si>
  <si>
    <t>Back of the Envelope for PNW</t>
  </si>
  <si>
    <t>US Estimates</t>
  </si>
  <si>
    <t>Baseline Estimate of Consumption in Niche in 2007 in TWh</t>
  </si>
  <si>
    <t>Penetration in 2007</t>
  </si>
  <si>
    <t>Electric Savings Potential in TWh</t>
  </si>
  <si>
    <t>Savings Potential Share of Baseline</t>
  </si>
  <si>
    <t>Share of Savings</t>
  </si>
  <si>
    <t>Max Electrical Savings in TWh</t>
  </si>
  <si>
    <t>US in MWa</t>
  </si>
  <si>
    <t>PNW Share Baselind Consumption Based on Population MWa</t>
  </si>
  <si>
    <t>PNW Share Savings Based on Population MWa</t>
  </si>
  <si>
    <t>PNW Adjustment for already done or cost-effectiveness</t>
  </si>
  <si>
    <t>PNW Potential</t>
  </si>
  <si>
    <t>Priority for 6th Plan</t>
  </si>
  <si>
    <t>Initial Comment</t>
  </si>
  <si>
    <t>Colored Lights</t>
  </si>
  <si>
    <t>Traffic Signals</t>
  </si>
  <si>
    <t>Were done with this</t>
  </si>
  <si>
    <t>Decorative Holiday Lights</t>
  </si>
  <si>
    <t>Exit Signs</t>
  </si>
  <si>
    <t>Will happen anyway</t>
  </si>
  <si>
    <t>Electric Signage</t>
  </si>
  <si>
    <t>Need jump start and then get out</t>
  </si>
  <si>
    <t>Indoor White-Light Applications</t>
  </si>
  <si>
    <t>Recessed Downlights</t>
  </si>
  <si>
    <t>Wait on Res.  Demo on Coml</t>
  </si>
  <si>
    <t>Refrigerated Display Cases</t>
  </si>
  <si>
    <t>High In Original but revised down by errata in October 2008</t>
  </si>
  <si>
    <t>Go now</t>
  </si>
  <si>
    <t>Retail Display</t>
  </si>
  <si>
    <t>Wait for better tech</t>
  </si>
  <si>
    <t>Task Lighting</t>
  </si>
  <si>
    <t>Kitchen Under-Cabinet Lighting</t>
  </si>
  <si>
    <t>Office Undershelf Lighting</t>
  </si>
  <si>
    <t>Outdoor White-Light Applications</t>
  </si>
  <si>
    <t>Street and Area Lights</t>
  </si>
  <si>
    <t>High</t>
  </si>
  <si>
    <t>Get started, push tech innovation</t>
  </si>
  <si>
    <t>Step, path and Porch Lights</t>
  </si>
  <si>
    <t>From Census &amp; NEMA</t>
  </si>
  <si>
    <t>US Luminaire Count 2007 in Million</t>
  </si>
  <si>
    <t>Luminaires per Population</t>
  </si>
  <si>
    <t>PNW Luminaire Count in 2007 in Millions</t>
  </si>
  <si>
    <t>Area Lights</t>
  </si>
  <si>
    <t>Flood Lights</t>
  </si>
  <si>
    <t>Street</t>
  </si>
  <si>
    <t>Recreate Estimate</t>
  </si>
  <si>
    <t>Installed Base US in 2007 from NEMA and NLI</t>
  </si>
  <si>
    <t>Conventional System Wattage</t>
  </si>
  <si>
    <t>Total Wattage in MW</t>
  </si>
  <si>
    <t>Baseline TWh</t>
  </si>
  <si>
    <t>LED Replacement Wattage</t>
  </si>
  <si>
    <t>Post Baseline Use TWh</t>
  </si>
  <si>
    <t>Savings as fraction of Baseline</t>
  </si>
  <si>
    <t>Incandescent</t>
  </si>
  <si>
    <t>Halogen Quartz</t>
  </si>
  <si>
    <t>Fluorescent</t>
  </si>
  <si>
    <t>Mercury Vapor</t>
  </si>
  <si>
    <t>Metal Halide</t>
  </si>
  <si>
    <t>From NLI 2002 by Navigant</t>
  </si>
  <si>
    <t>US Luminaire Count 2002 in Million</t>
  </si>
  <si>
    <t>Total Baseline Use in TWh</t>
  </si>
  <si>
    <t>Cobrahead Street Lights</t>
  </si>
  <si>
    <t>Distribution  NLI 2002</t>
  </si>
  <si>
    <t>By Wattage for Outdoor Stationary in 2002</t>
  </si>
  <si>
    <t>By Lamp Inventory for Outdoor Stationary in 2002 in Million</t>
  </si>
  <si>
    <t>Roadway National percent Wattage 2002</t>
  </si>
  <si>
    <t>Parking National Percent Wattage</t>
  </si>
  <si>
    <t>California 1999 Heshong Mahone Study.  Very Limited Sample</t>
  </si>
  <si>
    <t>NEMA.2004. “High-Intensity Discharge Lamp Survey.” Energy Conservation Program for Commercial and Industrial Equipment: High-Intensity Discharge (HID) Lamps Rulemaking, Docket # EE–DET-03-001</t>
  </si>
  <si>
    <t>..\..\..\Data\DOE\hid_energy_savings_report.pdf</t>
  </si>
  <si>
    <t>Outdoor</t>
  </si>
  <si>
    <t>Outdoor Fraction</t>
  </si>
  <si>
    <t>Lamp Shipments</t>
  </si>
  <si>
    <t>US Lamps per Year in Millions</t>
  </si>
  <si>
    <t>Lamp Life</t>
  </si>
  <si>
    <t>Implied Stock at 1/Lamp Life in millions</t>
  </si>
  <si>
    <t>Fraction Outdoor</t>
  </si>
  <si>
    <t>Implied Outdoor Stock in millions</t>
  </si>
  <si>
    <t>Outdoor Fixture Shipments</t>
  </si>
  <si>
    <t>US Fixtures per Year in Millions</t>
  </si>
  <si>
    <t>Fixture Life</t>
  </si>
  <si>
    <t>Implied Outdoor Stock at 1/Fixture Life in millions</t>
  </si>
  <si>
    <t>Wall Pack</t>
  </si>
  <si>
    <t>Area &gt;250W</t>
  </si>
  <si>
    <t>Post-Top</t>
  </si>
  <si>
    <t>Bollards</t>
  </si>
  <si>
    <t>Area &lt;250W</t>
  </si>
  <si>
    <t>Flood Sports</t>
  </si>
  <si>
    <t>Flood General</t>
  </si>
  <si>
    <t>Tunnel Enclosed</t>
  </si>
  <si>
    <t>Tunnel Open</t>
  </si>
  <si>
    <t>Portland</t>
  </si>
  <si>
    <t>Retrfots per Day</t>
  </si>
  <si>
    <t>Hours per Day</t>
  </si>
  <si>
    <t>Retro per hour</t>
  </si>
  <si>
    <t>Hours per Rretrofit</t>
  </si>
  <si>
    <t>Nominal Life</t>
  </si>
  <si>
    <t>Hours Operation</t>
  </si>
  <si>
    <t>Life in Years</t>
  </si>
  <si>
    <t>Round Life in Years</t>
  </si>
  <si>
    <t>POM Cycle at 24K Hours</t>
  </si>
  <si>
    <t>POM Cycle at 16K Hours</t>
  </si>
  <si>
    <t>POM Cycle at 9K Hours</t>
  </si>
  <si>
    <t>Number of POM per Life 24K</t>
  </si>
  <si>
    <t>Number of POM per Life 16K</t>
  </si>
  <si>
    <t>Number of POM per Life 9K</t>
  </si>
  <si>
    <t>35K</t>
  </si>
  <si>
    <t>43K</t>
  </si>
  <si>
    <t>50K</t>
  </si>
  <si>
    <t>100K</t>
  </si>
  <si>
    <t>120K</t>
  </si>
  <si>
    <t>Total Results</t>
  </si>
  <si>
    <t>Measure Input Data</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</si>
  <si>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</si>
  <si>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</si>
  <si>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</si>
  <si>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</si>
  <si>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</si>
  <si>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</si>
  <si>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</si>
  <si>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</si>
  <si>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</si>
  <si>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</si>
  <si>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</si>
  <si>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</si>
  <si>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</si>
  <si>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</si>
  <si>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</si>
  <si>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Category</t>
  </si>
  <si>
    <t>Measure</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</si>
  <si>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</si>
  <si>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</si>
  <si>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</si>
  <si>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</si>
  <si>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</si>
  <si>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</si>
  <si>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</si>
  <si>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</si>
  <si>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</si>
  <si>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</si>
  <si>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</si>
  <si>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</si>
  <si>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</si>
  <si>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</si>
  <si>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</si>
  <si>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</si>
  <si>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</si>
  <si>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Customer</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</si>
  <si>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</si>
  <si>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</si>
  <si>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</si>
  <si>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</si>
  <si>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</si>
  <si>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</si>
  <si>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</si>
  <si>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</si>
  <si>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</si>
  <si>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</si>
  <si>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</si>
  <si>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</si>
  <si>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</si>
  <si>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</si>
  <si>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</si>
  <si>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</si>
  <si>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</si>
  <si>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</si>
  <si>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</si>
  <si>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</si>
  <si>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</si>
  <si>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</si>
  <si>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</si>
  <si>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</si>
  <si>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</si>
  <si>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</si>
  <si>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</si>
  <si>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</si>
  <si>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</si>
  <si>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</si>
  <si>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</si>
  <si>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</si>
  <si>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</si>
  <si>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</si>
  <si>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</si>
  <si>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</si>
  <si>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</si>
  <si>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</si>
  <si>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</si>
  <si>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</si>
  <si>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</si>
  <si>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</si>
  <si>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</si>
  <si>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TRC B/C Ratio</t>
  </si>
  <si>
    <t>TRC Net Levelized Cost (Net of All Benefits) in mills/kWh</t>
  </si>
  <si>
    <t>Electric System CO2 Avoided (Lifetime Tons)</t>
  </si>
  <si>
    <t>Gas System CO2 Avoided (Lifetime Tons)</t>
  </si>
  <si>
    <t>Total System CO2 Avoided (Lifetime Tons)</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</si>
  <si>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</si>
  <si>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</si>
  <si>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</si>
  <si>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</si>
  <si>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</si>
  <si>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</si>
  <si>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</si>
  <si>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</si>
  <si>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</si>
  <si>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</si>
  <si>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</si>
  <si>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Delta watts time hours</t>
  </si>
  <si>
    <t>Baseline Equipment</t>
  </si>
  <si>
    <t>US luminatire count from Navigant 2008.  Wattage and type distribution from city of Portland.  Sales from DOE rulemaking.  Primarily 100HPS.</t>
  </si>
  <si>
    <t>Hours of Operation</t>
  </si>
  <si>
    <t>HVAC Interaction Factors</t>
  </si>
  <si>
    <t>None</t>
  </si>
  <si>
    <t>Measures</t>
  </si>
  <si>
    <t>Capital Costs</t>
  </si>
  <si>
    <t>Periodic Replacement Costs</t>
  </si>
  <si>
    <t>Savings Shapes</t>
  </si>
  <si>
    <t>Reduced wattage streetlight, photocell control</t>
  </si>
  <si>
    <t>Added decorative, and arterial</t>
  </si>
  <si>
    <t>All street and roadway lighting.  Muni and State</t>
  </si>
  <si>
    <t>From survey municipalities, PNL &amp; other sources</t>
  </si>
  <si>
    <t>HPS or Metal Halide.  Various wattages.</t>
  </si>
  <si>
    <t>Rebuilt measure shape based on astrological data, three cites and KEMA shape tool from Joe Lopes</t>
  </si>
  <si>
    <t>4300 hours per year</t>
  </si>
  <si>
    <t>Updated from Seattle, LA, Tacoma, Portland</t>
  </si>
  <si>
    <t>http://www1.eere.energy.gov/buildings/ssl/pdfs/msslc_inventory-phase1.pdf</t>
  </si>
  <si>
    <t>Report</t>
  </si>
  <si>
    <t>Link</t>
  </si>
  <si>
    <t>Public Street and Area Lighting Inventory Phase 1: Survey Results</t>
  </si>
  <si>
    <t>http://apps1.eere.energy.gov/buildings/publications/pdfs/ssl/energysavingsforecast14.pdf</t>
  </si>
  <si>
    <t xml:space="preserve">Energy Savings Forecast of Solid-State Lighting in General Illumination Applications </t>
  </si>
  <si>
    <t>70K</t>
  </si>
  <si>
    <t>LO Fast for New, LO Medium NR due to large volume of NR</t>
  </si>
  <si>
    <t xml:space="preserve">Increased from 6P.  Uptake on the increase. </t>
  </si>
  <si>
    <t>Expanded to higher wattage and high mast applications</t>
  </si>
  <si>
    <t>Two methods used, 1) Utility rate schedule 2)Data from local utilities</t>
  </si>
  <si>
    <t xml:space="preserve">Updated 2014. Use Navigant standards model with forecast to 2017.  Modest increase in forecast lifetime.  </t>
  </si>
  <si>
    <t>Utility</t>
  </si>
  <si>
    <t>total MWh sold 2012</t>
  </si>
  <si>
    <t xml:space="preserve">Pacificorp </t>
  </si>
  <si>
    <t>OR</t>
  </si>
  <si>
    <t>WA</t>
  </si>
  <si>
    <t>ID</t>
  </si>
  <si>
    <t>Avista</t>
  </si>
  <si>
    <t>Idaho Power</t>
  </si>
  <si>
    <t>Northwestern</t>
  </si>
  <si>
    <t>PGE</t>
  </si>
  <si>
    <t>PSE</t>
  </si>
  <si>
    <t>Total IOU Sales to Streetlight (FERC)</t>
  </si>
  <si>
    <t>Estimated fraction IOU/Regional Load</t>
  </si>
  <si>
    <t>Proxy Regional Load reported FERC Form 1</t>
  </si>
  <si>
    <t>aMW</t>
  </si>
  <si>
    <t>Ref</t>
  </si>
  <si>
    <t>Navigant model on standards for BPA 2013</t>
  </si>
  <si>
    <t>Q:\SeventhPlan\Conservation Analysis\Codes and Standards\Impact Estimates\Federal Standards Estimates\Navigant 2014 Final Deliverables\BPA Lighting Market Model FINAL_72014.xlsm</t>
  </si>
  <si>
    <t>Region Street Lights</t>
  </si>
  <si>
    <t>Annual kWh</t>
  </si>
  <si>
    <t>MWh</t>
  </si>
  <si>
    <t>Weighted Mean Streetlights per 1000 municipal population</t>
  </si>
  <si>
    <t>Annual kWh for highway luminare</t>
  </si>
  <si>
    <t>2014 Estimate</t>
  </si>
  <si>
    <t>Luminaires</t>
  </si>
  <si>
    <t>Total Population PNW 2014</t>
  </si>
  <si>
    <t>Navigant 2014</t>
  </si>
  <si>
    <t>PNL 2013 survey data</t>
  </si>
  <si>
    <t>Q:\SeventhPlan\Conservation Analysis\Com\Streetlight\Data\PNL PNW Responses to Inventory Survey.xlsx</t>
  </si>
  <si>
    <t>PNW share of US</t>
  </si>
  <si>
    <t>Luminaires US 2013</t>
  </si>
  <si>
    <t xml:space="preserve">PNW Luminaires </t>
  </si>
  <si>
    <t>Streetlight luminaires US</t>
  </si>
  <si>
    <t>Highway luminaires</t>
  </si>
  <si>
    <t>PNW Streetlight</t>
  </si>
  <si>
    <t>PNW Highway</t>
  </si>
  <si>
    <t>PNW Total Luminaires</t>
  </si>
  <si>
    <t>Luminaire &amp; Electric Load Estimates</t>
  </si>
  <si>
    <t>Previous Estiamtes</t>
  </si>
  <si>
    <t>Referece:  2</t>
  </si>
  <si>
    <t>http://apps1.eere.energy.gov/buildings/publications/pdfs/ssl/led-adoption-report_2013.pdf</t>
  </si>
  <si>
    <t>DOE 2013 Market Adoption Report</t>
  </si>
  <si>
    <t>DOE 2012 Market Adoption</t>
  </si>
  <si>
    <t>Draft DOE 2013 Market Adoption</t>
  </si>
  <si>
    <t>For Street and Roadway</t>
  </si>
  <si>
    <t>Estimated Saturation (Installed)</t>
  </si>
  <si>
    <t>Forecast</t>
  </si>
  <si>
    <t>DOE 2014 Energy Savings Forecast</t>
  </si>
  <si>
    <t>Source: DOE Reference 2</t>
  </si>
  <si>
    <t>Forecast Penetration (Share of Sales)</t>
  </si>
  <si>
    <t>Saturation and Penetration Estimates</t>
  </si>
  <si>
    <t>Total Stock</t>
  </si>
  <si>
    <t>PNW Estimates Street &amp; Roadway</t>
  </si>
  <si>
    <t>Forecast Completed by End 2015</t>
  </si>
  <si>
    <t>Seattle</t>
  </si>
  <si>
    <t xml:space="preserve">Remaining </t>
  </si>
  <si>
    <t>Street/Area Lighting:  Unit and maintenance Costs</t>
  </si>
  <si>
    <t>System Wattage W/Ballast</t>
  </si>
  <si>
    <t>Unit Cost</t>
  </si>
  <si>
    <t>Annual Average Maineannce Cost</t>
  </si>
  <si>
    <t>Replacement Description</t>
  </si>
  <si>
    <t>Incremental Unit Cost</t>
  </si>
  <si>
    <t>Annual Maintenance Savings</t>
  </si>
  <si>
    <t>Notes</t>
  </si>
  <si>
    <t>101 W LED with PC</t>
  </si>
  <si>
    <t>168 W LED with PC</t>
  </si>
  <si>
    <t>400 W LED with PC</t>
  </si>
  <si>
    <t>NA</t>
  </si>
  <si>
    <t>775 W PSMH</t>
  </si>
  <si>
    <t>Retrofit measure, so full measure cost</t>
  </si>
  <si>
    <t>PS MH assumes no maintnenace savings compared to the old HID.</t>
  </si>
  <si>
    <t xml:space="preserve">Photo Cell for LED streetlights are electronic, 20 year life with cost of </t>
  </si>
  <si>
    <t xml:space="preserve">Photo Cell for HID streetlights are standard, 6 year life with cost of </t>
  </si>
  <si>
    <t>Lamp life of LED in hours and years</t>
  </si>
  <si>
    <t>Lamp life of HID in hours and years</t>
  </si>
  <si>
    <t>Assumed cost of replacement LED</t>
  </si>
  <si>
    <t>For purposes of LED maintenance, assumes that photo cell and LED panel is replaced at same time.</t>
  </si>
  <si>
    <t>Per Repair</t>
  </si>
  <si>
    <t>Average per Fixture</t>
  </si>
  <si>
    <t>HID Average repair cost (rounded)</t>
  </si>
  <si>
    <t>Tacoma Power Maintenance</t>
  </si>
  <si>
    <t>City of Lakewood</t>
  </si>
  <si>
    <t>City of University Place</t>
  </si>
  <si>
    <t>Tacoma Pricing 2014 from Rich Arneson</t>
  </si>
  <si>
    <r>
      <t xml:space="preserve">Existing HID </t>
    </r>
    <r>
      <rPr>
        <sz val="12"/>
        <color rgb="FFFF0000"/>
        <rFont val="Calibri"/>
        <family val="2"/>
        <scheme val="minor"/>
      </rPr>
      <t>Lamp</t>
    </r>
    <r>
      <rPr>
        <sz val="10"/>
        <color theme="1"/>
        <rFont val="Calibri"/>
        <family val="2"/>
        <scheme val="minor"/>
      </rPr>
      <t xml:space="preserve"> Wattage</t>
    </r>
  </si>
  <si>
    <r>
      <rPr>
        <sz val="12"/>
        <color rgb="FFFF0000"/>
        <rFont val="Calibri"/>
        <family val="2"/>
        <scheme val="minor"/>
      </rPr>
      <t>42</t>
    </r>
    <r>
      <rPr>
        <sz val="10"/>
        <color theme="1"/>
        <rFont val="Calibri"/>
        <family val="2"/>
        <scheme val="minor"/>
      </rPr>
      <t xml:space="preserve"> W LED with PC</t>
    </r>
  </si>
  <si>
    <t>MH 400W w Group relamp</t>
  </si>
  <si>
    <t>MH 1000W w Group relamp</t>
  </si>
  <si>
    <t>http://www.nofs.navy.mil/about_NOFS/darksky/lumentab.html</t>
  </si>
  <si>
    <t>First Cost $/klm</t>
  </si>
  <si>
    <t>lm/watt</t>
  </si>
  <si>
    <t>$/klm</t>
  </si>
  <si>
    <t>Incremental First Cost $ per Delta Watt</t>
  </si>
  <si>
    <t>Total First Cost per Delta Watt</t>
  </si>
  <si>
    <t>Savings Percent by Wattage</t>
  </si>
  <si>
    <t>Annujal Savings kWh</t>
  </si>
  <si>
    <t>HPS 100W CH w Group relamp</t>
  </si>
  <si>
    <t>HPS 250W CH w Group relamp</t>
  </si>
  <si>
    <t>LED 100W Repl CH w Group relamp</t>
  </si>
  <si>
    <t>LED 200W Repl CH w Group relamp</t>
  </si>
  <si>
    <t>LED 250W Repl CH w Group relamp</t>
  </si>
  <si>
    <t>LED 400W Repl w Group relamp</t>
  </si>
  <si>
    <t>LED 1000W Repl w Group relamp</t>
  </si>
  <si>
    <t>HPS 250W</t>
  </si>
  <si>
    <t>MH 400W</t>
  </si>
  <si>
    <t>MH 1000W</t>
  </si>
  <si>
    <t>Index</t>
  </si>
  <si>
    <t>MH 200W</t>
  </si>
  <si>
    <t>MH 200W CH w Group relamp</t>
  </si>
  <si>
    <t>S-All-Lgt-Streetlight-All-All-U</t>
  </si>
  <si>
    <t>Streetlight - HPS 100W - Group Relamp - to LED 42W - New</t>
  </si>
  <si>
    <t>Streetlight - HPS 100W - Tariff Relamp - to LED 42W - New</t>
  </si>
  <si>
    <t>Streetlight - HPS 100W - Group Relamp - to LED 58W - New</t>
  </si>
  <si>
    <t>Streetlight - HPS 100W - Tariff Relamp - to LED 58W - New</t>
  </si>
  <si>
    <t>Streetlight - HPS 100W - Group Relamp - to LED 42W - NR</t>
  </si>
  <si>
    <t>Streetlight - HPS 100W - Tariff Relamp - to LED 42W - NR</t>
  </si>
  <si>
    <t>Streetlight - HPS 100W - Group Relamp - to LED 58W - NR</t>
  </si>
  <si>
    <t>Streetlight - HPS 100W - Tariff Relamp - to LED 58W - NR</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</si>
  <si>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</si>
  <si>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</si>
  <si>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</si>
  <si>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</si>
  <si>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</si>
  <si>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</si>
  <si>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</si>
  <si>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</si>
  <si>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</si>
  <si>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</si>
  <si>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</si>
  <si>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</si>
  <si>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</si>
  <si>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</si>
  <si>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</si>
  <si>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</si>
  <si>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</si>
  <si>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</si>
  <si>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</si>
  <si>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</si>
  <si>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</si>
  <si>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</si>
  <si>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</si>
  <si>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</si>
  <si>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</si>
  <si>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</si>
  <si>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</si>
  <si>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</si>
  <si>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</si>
  <si>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</si>
  <si>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</si>
  <si>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</si>
  <si>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</si>
  <si>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</si>
  <si>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</si>
  <si>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</si>
  <si>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</si>
  <si>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</si>
  <si>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</si>
  <si>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</si>
  <si>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</si>
  <si>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</si>
  <si>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</si>
  <si>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</si>
  <si>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</si>
  <si>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</si>
  <si>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</si>
  <si>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</si>
  <si>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</si>
  <si>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</si>
  <si>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</si>
  <si>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</si>
  <si>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</si>
  <si>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</si>
  <si>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</si>
  <si>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</si>
  <si>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</si>
  <si>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</si>
  <si>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</si>
  <si>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</si>
  <si>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</si>
  <si>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</si>
  <si>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</si>
  <si>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</si>
  <si>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</si>
  <si>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</si>
  <si>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</si>
  <si>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</si>
  <si>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</si>
  <si>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</si>
  <si>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</si>
  <si>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</si>
  <si>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</si>
  <si>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Electric System CO2 Avoided (Annual Tons in 2018)</t>
  </si>
  <si>
    <t>Gas System CO2 Avoided (Annual Tons in 2018)</t>
  </si>
  <si>
    <t>Total System CO2 Avoided (Annual Tons in 2018)</t>
  </si>
  <si>
    <t>(na)</t>
  </si>
  <si>
    <t>Category Results; Sorted by TRC Levelized Cost</t>
  </si>
  <si>
    <t>Supply Curve Results; Categories sorted by TRC Net Levelized Cost</t>
  </si>
  <si>
    <t>Totals for Categories with Benefits Exceeding Costs.    Levelized cost is TRC Net Levelized Cost (Net of Benefits)</t>
  </si>
  <si>
    <t>Totals Basis</t>
  </si>
  <si>
    <t>Busbar Electric Savings in 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</si>
  <si>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</si>
  <si>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</si>
  <si>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</si>
  <si>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</si>
  <si>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</si>
  <si>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</si>
  <si>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</si>
  <si>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</si>
  <si>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</si>
  <si>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</si>
  <si>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</si>
  <si>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</si>
  <si>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</si>
  <si>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</si>
  <si>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</si>
  <si>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</si>
  <si>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</si>
  <si>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</si>
  <si>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</si>
  <si>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</si>
  <si>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Measures with B/C &gt; 1.00</t>
  </si>
  <si>
    <t>Categories with B/C &gt; 1.00</t>
  </si>
  <si>
    <t>Supply Curve Results:  By TRC Net Levelized Cost - Net of Benefits</t>
  </si>
  <si>
    <t>Block 1: &lt;= 0 mills/kWh</t>
  </si>
  <si>
    <t>Block 2: &lt;= 10 mills/kWh</t>
  </si>
  <si>
    <t>Block 3: 10-20 mills/kWh</t>
  </si>
  <si>
    <t>Block 4: 20-30 mills/kWh</t>
  </si>
  <si>
    <t>Block 5: 30-40 mills/kWh</t>
  </si>
  <si>
    <t>Block 6: 40-50 mills/kWh</t>
  </si>
  <si>
    <t>Block 7: 50-60 mills/kWh</t>
  </si>
  <si>
    <t>Block 8: 60-70 mills/kWh</t>
  </si>
  <si>
    <t>Block 9: 70-80 mills/kWh</t>
  </si>
  <si>
    <t>Block 10: 80-90 mills/kWh</t>
  </si>
  <si>
    <t>Block 11: 90-100 mills/kWh</t>
  </si>
  <si>
    <t>Block 12: 100-110 mills/kWh</t>
  </si>
  <si>
    <t>Block 13: 110-120 mills/kWh</t>
  </si>
  <si>
    <t>Block 14: 120-130 mills/kWh</t>
  </si>
  <si>
    <t>Block 15: 130-140 mills/kWh</t>
  </si>
  <si>
    <t>Block 16: 140-150 mills/kWh</t>
  </si>
  <si>
    <t>Block 17: 150-160 mills/kWh</t>
  </si>
  <si>
    <t>Block 18: 160-170 mills/kWh</t>
  </si>
  <si>
    <t>Block 19: 170-180 mills/kWh</t>
  </si>
  <si>
    <t>Block 20: 180-190 mills/kWh</t>
  </si>
  <si>
    <t>Block 21: 190-200 mills/kWh</t>
  </si>
  <si>
    <t>Block 22: &gt; 200 mills/kWh</t>
  </si>
  <si>
    <t>Shaped Savings Results; By Category and sorted by TRC BC ratio</t>
  </si>
  <si>
    <t>Busbar Savings</t>
  </si>
  <si>
    <t>Streetlight - HPS 100W - New</t>
  </si>
  <si>
    <t>Streetlight - MH 200W  - New</t>
  </si>
  <si>
    <t>Streetlight - HPS 250W - New</t>
  </si>
  <si>
    <t>Streetlight - MH 400W  - New</t>
  </si>
  <si>
    <t>Streetlight - MH 1000W - New</t>
  </si>
  <si>
    <t>Streetlight - HPS 100W - NR</t>
  </si>
  <si>
    <t>Streetlight - MH 200W  - NR</t>
  </si>
  <si>
    <t>Streetlight - HPS 250W - NR</t>
  </si>
  <si>
    <t>Streetlight - MH 400W  - NR</t>
  </si>
  <si>
    <t>Streetlight - MH 1000W - NR</t>
  </si>
  <si>
    <t>Weight by Mix Baseline Watts</t>
  </si>
  <si>
    <t>SUPPLY CURVE WEIGHT BY WATT CLASS</t>
  </si>
  <si>
    <t>Units Methodology</t>
  </si>
  <si>
    <t>Forecast Version</t>
  </si>
  <si>
    <t>Measure Bundle</t>
  </si>
  <si>
    <t>Report Year</t>
  </si>
  <si>
    <t>Non-Building Stock</t>
  </si>
  <si>
    <t>Turnover Rate</t>
  </si>
  <si>
    <t>SUPPLY CURVE SAVINGS BY BUNDLE</t>
  </si>
  <si>
    <t>lvlcost</t>
  </si>
  <si>
    <t>RECOMBINE MEASURE BUNDLES INTO SUPPLY CURVE CUMULATIVE</t>
  </si>
  <si>
    <t>&gt;=-9999</t>
  </si>
  <si>
    <t>&lt;=0</t>
  </si>
  <si>
    <t>&gt;0</t>
  </si>
  <si>
    <t>&lt;=10</t>
  </si>
  <si>
    <t>&gt;10</t>
  </si>
  <si>
    <t>&lt;=20</t>
  </si>
  <si>
    <t>&gt;20</t>
  </si>
  <si>
    <t>&lt;=30</t>
  </si>
  <si>
    <t>&gt;30</t>
  </si>
  <si>
    <t>&lt;=40</t>
  </si>
  <si>
    <t>&gt;40</t>
  </si>
  <si>
    <t>&lt;=50</t>
  </si>
  <si>
    <t>&gt;50</t>
  </si>
  <si>
    <t>&lt;=60</t>
  </si>
  <si>
    <t>&gt;60</t>
  </si>
  <si>
    <t>&lt;=70</t>
  </si>
  <si>
    <t>&gt;70</t>
  </si>
  <si>
    <t>&lt;=80</t>
  </si>
  <si>
    <t>&gt;80</t>
  </si>
  <si>
    <t>&lt;=90</t>
  </si>
  <si>
    <t>&gt;90</t>
  </si>
  <si>
    <t>&lt;=100</t>
  </si>
  <si>
    <t>&gt;100</t>
  </si>
  <si>
    <t>&lt;=110</t>
  </si>
  <si>
    <t>&gt;110</t>
  </si>
  <si>
    <t>&lt;=120</t>
  </si>
  <si>
    <t>&gt;120</t>
  </si>
  <si>
    <t>&lt;=130</t>
  </si>
  <si>
    <t>&gt;130</t>
  </si>
  <si>
    <t>&lt;=140</t>
  </si>
  <si>
    <t>&gt;140</t>
  </si>
  <si>
    <t>&lt;=150</t>
  </si>
  <si>
    <t>&gt;150</t>
  </si>
  <si>
    <t>&lt;=160</t>
  </si>
  <si>
    <t>&gt;160</t>
  </si>
  <si>
    <t>&lt;=170</t>
  </si>
  <si>
    <t>&gt;170</t>
  </si>
  <si>
    <t>&lt;=180</t>
  </si>
  <si>
    <t>&gt;180</t>
  </si>
  <si>
    <t>&lt;=190</t>
  </si>
  <si>
    <t>&gt;190</t>
  </si>
  <si>
    <t>&lt;=200</t>
  </si>
  <si>
    <t>&gt;200</t>
  </si>
  <si>
    <t>RECOMBINE MEASURE BUNDLES INTO SUPPLY CURVE INREMENETAL</t>
  </si>
  <si>
    <t>NEW LUMINAIRES APPLICABLE &amp; ACHIEVABLE BY YEAR FOR BUNDLE</t>
  </si>
  <si>
    <t>SC_New</t>
  </si>
  <si>
    <t>='[7P Forecasts D1.xlsx]Pop Forecast (Base Case)'!$A$1</t>
  </si>
  <si>
    <t>Vintage</t>
  </si>
  <si>
    <t>Existing</t>
  </si>
  <si>
    <t>Region</t>
  </si>
  <si>
    <t>UNITS FOR EXISTING STOCK</t>
  </si>
  <si>
    <t>Population</t>
  </si>
  <si>
    <t>Incremental Popultation</t>
  </si>
  <si>
    <t>Streetlights per 1000 population</t>
  </si>
  <si>
    <t>Incremental Streetlights</t>
  </si>
  <si>
    <t>Wattage Classes</t>
  </si>
  <si>
    <t>Frac Stock</t>
  </si>
  <si>
    <t>&gt;210</t>
  </si>
  <si>
    <t>&gt;220</t>
  </si>
  <si>
    <t>&gt;230</t>
  </si>
  <si>
    <t>&gt;240</t>
  </si>
  <si>
    <t>&gt;250</t>
  </si>
  <si>
    <t>&gt;260</t>
  </si>
  <si>
    <t>&gt;270</t>
  </si>
  <si>
    <t>&gt;280</t>
  </si>
  <si>
    <t>&gt;290</t>
  </si>
  <si>
    <t>&gt;300</t>
  </si>
  <si>
    <t>&lt;=210</t>
  </si>
  <si>
    <t>&lt;=220</t>
  </si>
  <si>
    <t>&lt;=230</t>
  </si>
  <si>
    <t>&lt;=240</t>
  </si>
  <si>
    <t>&lt;=250</t>
  </si>
  <si>
    <t>&lt;=260</t>
  </si>
  <si>
    <t>&lt;=270</t>
  </si>
  <si>
    <t>&lt;=280</t>
  </si>
  <si>
    <t>&lt;=290</t>
  </si>
  <si>
    <t>&lt;=300</t>
  </si>
  <si>
    <t>Block 22: 200-210 mills/kWh</t>
  </si>
  <si>
    <t>Block 23: 210-220 mills/kWh</t>
  </si>
  <si>
    <t>Block 24: 220-230 mills/kWh</t>
  </si>
  <si>
    <t>Block 25: 230-240 mills/kWh</t>
  </si>
  <si>
    <t>Block 26: 240-250 mills/kWh</t>
  </si>
  <si>
    <t>Block 27: 250-260 mills/kWh</t>
  </si>
  <si>
    <t>Block 28: 260-270 mills/kWh</t>
  </si>
  <si>
    <t>Block 29: 270-280 mills/kWh</t>
  </si>
  <si>
    <t>Block 30: 280-290 mills/kWh</t>
  </si>
  <si>
    <t>Block 31: 290-300 mills/kWh</t>
  </si>
  <si>
    <t>Block 32: &gt;300 mills/kWh</t>
  </si>
  <si>
    <t>&lt;=999</t>
  </si>
  <si>
    <t xml:space="preserve">Methodology:  For the Natural Replacement case start with 2016 Stock of luminaires.   Add the New stock not addressed by the New measures.  Then apply natural turnover rate for outdoor lighting systems based on relamp life.  Also apply the achievable penetration rate by year and the measure applicability factor.  Achievable penetration includes technology phase in.  The applicability factor represents the portion of the avialable stock that the measure applys to which is 100 percent minus the baseline fraction that is doing the measure absent program.  The product is the annual available luminaires by type.  Luminaires times savings per luminaire for MWa potential avialble by year for each type.  Turnover Rate, Achievable Penetration Rrate and Applicability Factor are looked up from ComMaster.  Savings available for the retrofit measure apply only to the non-NR residual luminiares at the 20th year.  </t>
  </si>
  <si>
    <t>MAX ANNUAL AVAILABLE</t>
  </si>
  <si>
    <t>TOTAL CUMULATIVE MAX</t>
  </si>
  <si>
    <t>TOTAL MAX</t>
  </si>
  <si>
    <t>HPS 100W CH w Tariff Relamp</t>
  </si>
  <si>
    <t>MH 200W CH w Tariff Relamp</t>
  </si>
  <si>
    <t>HPS 250W CH w Tariff Relamp</t>
  </si>
  <si>
    <t>MH 400W w Tariff Relamp</t>
  </si>
  <si>
    <t>MH 1000W w Tariff Relamp</t>
  </si>
  <si>
    <t>LED 100W Repl CH w Tariff Relamp</t>
  </si>
  <si>
    <t>LED 200W Repl CH w Tariff Relamp</t>
  </si>
  <si>
    <t>LED 250W Repl CH w Tariff Relamp</t>
  </si>
  <si>
    <t>LED 400W Repl w Tariff Relamp</t>
  </si>
  <si>
    <t>LED 1000W Repl w Tariff Relamp</t>
  </si>
  <si>
    <t>aMW Street &amp; Roadway 2014</t>
  </si>
  <si>
    <t>Average Roadway Wattage HPS per Navigant</t>
  </si>
  <si>
    <t xml:space="preserve">Description </t>
  </si>
  <si>
    <t>Date Done</t>
  </si>
  <si>
    <t>Who</t>
  </si>
  <si>
    <t>Result</t>
  </si>
  <si>
    <t>CG</t>
  </si>
  <si>
    <t>Update Watt class fractions with Navigant &amp; PGE</t>
  </si>
  <si>
    <t>Baseline penetration update from Maggie</t>
  </si>
  <si>
    <t>New cost data</t>
  </si>
  <si>
    <t>New performance data</t>
  </si>
  <si>
    <t>Update Source Summary</t>
  </si>
  <si>
    <t>Build Measure Map</t>
  </si>
  <si>
    <t>Figure out weighting scheme</t>
  </si>
  <si>
    <t>Build SC models</t>
  </si>
  <si>
    <t>Estimate baseline energy use and frozen efficiency points</t>
  </si>
  <si>
    <t>Calibrate baseline use and turnover with Massoud's forecast</t>
  </si>
  <si>
    <t>Costs to 2012$</t>
  </si>
  <si>
    <t>Get saturation estimate</t>
  </si>
  <si>
    <t>Update APPLIC, BASE, TURN, ACHIEV and CHAR in ComMaster</t>
  </si>
  <si>
    <t>Run ProCost</t>
  </si>
  <si>
    <t>Check savings against total load estimate</t>
  </si>
  <si>
    <t>Forecast pricing and performance to 2017</t>
  </si>
  <si>
    <t>Check baseline penetration in new, initial set at 50% in BASE</t>
  </si>
  <si>
    <t>Develop shjape of savings and put in GLS</t>
  </si>
  <si>
    <t>Average of $/Watt</t>
  </si>
  <si>
    <t>Column Labels</t>
  </si>
  <si>
    <t>Row Labels</t>
  </si>
  <si>
    <t>Seattle Pricing 2012$ from</t>
  </si>
  <si>
    <t>Q:\SeventhPlan\Conservation Analysis\Com\Streetlight\Seattle LED Purchases history to date 8_2014.xlsx</t>
  </si>
  <si>
    <t>Reduced wattage streetlight, photocell control or astrological clock</t>
  </si>
  <si>
    <t>Sum of Count</t>
  </si>
  <si>
    <t>Portland Disribution</t>
  </si>
  <si>
    <t>Tacoma Distribution</t>
  </si>
  <si>
    <t>Unmetered Streetlights</t>
  </si>
  <si>
    <t>Wattage and hrs of Operation</t>
  </si>
  <si>
    <t>Frac Count</t>
  </si>
  <si>
    <t>50_DD (24kwh)</t>
  </si>
  <si>
    <t>70_DD (37kwh)</t>
  </si>
  <si>
    <t>75_DD (38.5kwh)</t>
  </si>
  <si>
    <t>100_DD (52kwh)</t>
  </si>
  <si>
    <t>100_D2:20am (52kwh)</t>
  </si>
  <si>
    <t>150 Incadecent (53kwh)</t>
  </si>
  <si>
    <t>150_DD (77kwh)</t>
  </si>
  <si>
    <t>175_DD (77kwh)</t>
  </si>
  <si>
    <t>200_DD (90W)</t>
  </si>
  <si>
    <t>250_DD (111W)</t>
  </si>
  <si>
    <t>250_Continuous (272kwh)</t>
  </si>
  <si>
    <t>310_DD (133kwh)</t>
  </si>
  <si>
    <t>400_DD (172kwh)</t>
  </si>
  <si>
    <t>700_DD (296kwh)</t>
  </si>
  <si>
    <t>1000k(432kwh)</t>
  </si>
  <si>
    <t>Streetlight - MH 200W - Group Relamp - to LED 135W - New</t>
  </si>
  <si>
    <t>Streetlight - MH 200W - Tariff Relamp - to LED 135W - New</t>
  </si>
  <si>
    <t>Streetlight - HPS 250W - Group Relamp - to LED 135W - New</t>
  </si>
  <si>
    <t>Streetlight - HPS 250W - Tariff Relamp - to LED 135W - New</t>
  </si>
  <si>
    <t>Streetlight - MH 200W - Group Relamp - to LED 135W - NR</t>
  </si>
  <si>
    <t>Streetlight - MH 200W - Tariff Relamp - to LED 135W - NR</t>
  </si>
  <si>
    <t>Streetlight - HPS 250W - Group Relamp - to LED 135W - NR</t>
  </si>
  <si>
    <t>Streetlight - HPS 250W - Tariff Relamp - to LED 135W - NR</t>
  </si>
  <si>
    <t>Combine NR and New and create stock max composite</t>
  </si>
  <si>
    <t xml:space="preserve">Estimated Load not reprted on SL tariff </t>
  </si>
  <si>
    <t>Portland Pricing Nov 2014 from Tod Roisnbum</t>
  </si>
  <si>
    <t>EC1 6M</t>
  </si>
  <si>
    <t>100 HPS</t>
  </si>
  <si>
    <t>Model</t>
  </si>
  <si>
    <t>Incumbant</t>
  </si>
  <si>
    <t>LED Watt</t>
  </si>
  <si>
    <t>Price Quote</t>
  </si>
  <si>
    <t>EC3 10M</t>
  </si>
  <si>
    <t>200 HPS</t>
  </si>
  <si>
    <t>250 MH</t>
  </si>
  <si>
    <t>EC7 20M</t>
  </si>
  <si>
    <t>400 MH</t>
  </si>
  <si>
    <t>Streetlight\Portland Pricing 2014.pdf</t>
  </si>
  <si>
    <t>CREE</t>
  </si>
  <si>
    <t>1000 MH</t>
  </si>
  <si>
    <t>2017 Forecast Luminaire Cost Nominal (2012$)</t>
  </si>
  <si>
    <t>2014 Luminaire Cost Nominal (2012$)</t>
  </si>
  <si>
    <t>City of Tacoma 2014</t>
  </si>
  <si>
    <t>$/watt LED</t>
  </si>
  <si>
    <t>Life Offset</t>
  </si>
  <si>
    <t>Max Annual Carryover to SC-NR</t>
  </si>
  <si>
    <t>L</t>
  </si>
  <si>
    <t>Streetlight - MH 1000W - Group Relamp - to LED 421W - New</t>
  </si>
  <si>
    <t>Streetlight - MH 1000W - Tariff Relamp - to LED 421W - New</t>
  </si>
  <si>
    <t>Streetlight - MH 1000W - Group Relamp - to LED 421W - NR</t>
  </si>
  <si>
    <t>Streetlight - MH 1000W - Tariff Relamp - to LED 421W - NR</t>
  </si>
  <si>
    <t>Update LED prices with Seattle &amp; Portland actuals</t>
  </si>
  <si>
    <t>aMW Muni (pre LED)</t>
  </si>
  <si>
    <t>Update non-muni luminaires (state, county, federal owned, non metered)</t>
  </si>
  <si>
    <t>PNL Alternative per staff discussion</t>
  </si>
  <si>
    <t>Estimate Fraction Complete for all other Jurisdictions</t>
  </si>
  <si>
    <t>State highway as fraction of muni</t>
  </si>
  <si>
    <t xml:space="preserve">aMW State, Fed, Highway, </t>
  </si>
  <si>
    <t xml:space="preserve"> Municipal</t>
  </si>
  <si>
    <t>Highway</t>
  </si>
  <si>
    <t>Muni</t>
  </si>
  <si>
    <t>Combined</t>
  </si>
  <si>
    <t>Count</t>
  </si>
  <si>
    <t>Count 2014</t>
  </si>
  <si>
    <t>Frac</t>
  </si>
  <si>
    <t>Pacificorp</t>
  </si>
  <si>
    <t>Est Population Muni Population</t>
  </si>
  <si>
    <t>Estimated highway count (State,Fed, Other)</t>
  </si>
  <si>
    <t>Percent LED by 2015</t>
  </si>
  <si>
    <t>All others</t>
  </si>
  <si>
    <t>State &amp; Fed</t>
  </si>
  <si>
    <t>Updated stock estimate from several sources including, PNL survey, 2012 Navigant study, and FERC Form 1.  Added decorative, and arterial (high mast).  Regression analysis for luminaire per person.</t>
  </si>
  <si>
    <t>Forecast by end of 2015.  From survey of municipalities, PNL &amp; Navigant 2012.  Portland, Seattle and other finished by end 2015.  See sheet SatPen.</t>
  </si>
  <si>
    <t>Program Ramp Annual Energy</t>
  </si>
  <si>
    <t>Check with States of OR &amp; WA for count</t>
  </si>
  <si>
    <t>Conform Ramp Rate to SC Template (85% OR 100%)</t>
  </si>
  <si>
    <t>Sum with 85% max</t>
  </si>
  <si>
    <t>Residual from Ramp Rate</t>
  </si>
  <si>
    <t>SUM</t>
  </si>
  <si>
    <t>Check residual calc to carryover from SC-NEW to SC NR</t>
  </si>
  <si>
    <t>Achiev plus Residual</t>
  </si>
  <si>
    <t>Diff between ACH plus Resid and Total</t>
  </si>
  <si>
    <t>Residual</t>
  </si>
  <si>
    <t>CHECK</t>
  </si>
  <si>
    <t>Total Units</t>
  </si>
  <si>
    <t>85% per year check</t>
  </si>
  <si>
    <t>Max Units</t>
  </si>
  <si>
    <t>Total Opportuntiies over 20 years</t>
  </si>
  <si>
    <t>Available Residuals (do-overs)</t>
  </si>
  <si>
    <t>Baseline Fixtures</t>
  </si>
  <si>
    <t>LED Fixtures</t>
  </si>
  <si>
    <t>2012$</t>
  </si>
  <si>
    <t>LED 42W</t>
  </si>
  <si>
    <t>LED 58W</t>
  </si>
  <si>
    <t>LED 135W</t>
  </si>
  <si>
    <t>LED 421W</t>
  </si>
  <si>
    <t>2017 Cost Adjustment for LED Streelight</t>
  </si>
  <si>
    <t>Tacoma Pricing</t>
  </si>
  <si>
    <t>Fixture Cost Inputs for 2014</t>
  </si>
  <si>
    <t>Portland &amp; Tacoma Pricing</t>
  </si>
  <si>
    <t>Bid</t>
  </si>
  <si>
    <t>Projected Luminaiare Efficacy (lm/Watt) from PNL 2013 Jason Tuenge report (Table 5.2)</t>
  </si>
  <si>
    <t>Product category</t>
  </si>
  <si>
    <t>Projected avg. efficacy at start of year (lm/W)</t>
  </si>
  <si>
    <t>Data Set</t>
  </si>
  <si>
    <t xml:space="preserve">LED omnidirectional </t>
  </si>
  <si>
    <t xml:space="preserve">lamps </t>
  </si>
  <si>
    <t>ES</t>
  </si>
  <si>
    <t xml:space="preserve">LED decorative </t>
  </si>
  <si>
    <t xml:space="preserve">LED PAR-BR-R </t>
  </si>
  <si>
    <t>LED MR</t>
  </si>
  <si>
    <t>LED downlight</t>
  </si>
  <si>
    <t xml:space="preserve">luminaires </t>
  </si>
  <si>
    <t>retrofit units</t>
  </si>
  <si>
    <t>LED troffer</t>
  </si>
  <si>
    <t>DLC</t>
  </si>
  <si>
    <t>*</t>
  </si>
  <si>
    <t>LED high-bay &amp; low-bay</t>
  </si>
  <si>
    <t>luminaires</t>
  </si>
  <si>
    <t>LED parking garage</t>
  </si>
  <si>
    <t>LED area/roadway</t>
  </si>
  <si>
    <t>Source Efficacy lm/Watt</t>
  </si>
  <si>
    <t>Fixture Efficacy lm/Watt</t>
  </si>
  <si>
    <t>2017 Forecast Wattage</t>
  </si>
  <si>
    <t>2017 Efficacy Adjustment for LED Streetlight</t>
  </si>
  <si>
    <t>Check efficacy on 400W HID equivalent, looks too low</t>
  </si>
  <si>
    <t>Average of 2012$</t>
  </si>
  <si>
    <t>Seattle Pricing by Year in 2012$ from</t>
  </si>
  <si>
    <t>LED 180W</t>
  </si>
  <si>
    <t>Averge Portalnd and Tacoma</t>
  </si>
  <si>
    <t>Streetlight - MH 400W - Group Relamp - to LED 180W - New</t>
  </si>
  <si>
    <t>Streetlight - MH 400W - Tariff Relamp - to LED 180W - New</t>
  </si>
  <si>
    <t>Streetlight - MH 400W - Group Relamp - to LED 180W - NR</t>
  </si>
  <si>
    <t>Streetlight - MH 400W - Tariff Relamp - to LED 180W - NR</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</si>
  <si>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</si>
  <si>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</si>
  <si>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</si>
  <si>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</si>
  <si>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</si>
  <si>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 xml:space="preserve">Add SC calcs for MAX by cost bin  </t>
  </si>
  <si>
    <t>Revised</t>
  </si>
  <si>
    <t>Clean up</t>
  </si>
  <si>
    <t>APPLY MEASURE APPLICABILITY, TURNOVER RATE AND ACHIEVABLE PENETRATION RATE FOR MAX ANNUAL RATE</t>
  </si>
  <si>
    <t>Measure Applicability Factor</t>
  </si>
  <si>
    <t>Unit Multiplier</t>
  </si>
  <si>
    <t>Achievability =&gt;</t>
  </si>
  <si>
    <t>Acheivable and 85% Max Per Year</t>
  </si>
  <si>
    <t>Units</t>
  </si>
  <si>
    <t>MAX</t>
  </si>
  <si>
    <t>Total per Year</t>
  </si>
  <si>
    <t>Total Cumulative</t>
  </si>
  <si>
    <t>Max</t>
  </si>
  <si>
    <t># UNITS RESIDUAL &amp; AVAILABLE TO NR/RETROFIT POOL</t>
  </si>
  <si>
    <t>Max Units 85%</t>
  </si>
  <si>
    <t>UNITS</t>
  </si>
  <si>
    <t># UNITS FOR EXISTING STOCK</t>
  </si>
  <si>
    <t># UNITS CARRYOVER FROM UNTREATED NEW STOCK</t>
  </si>
  <si>
    <t># UNITS TOTAL FOR NR POOL</t>
  </si>
  <si>
    <t>Luminaires Remaining</t>
  </si>
  <si>
    <t>APPLY MEASURE APPLICABILITY, SATURATION TURNOVER RATE FOR MAX ANNUAL # UNITS</t>
  </si>
  <si>
    <t>Applicability</t>
  </si>
  <si>
    <t>Saturation</t>
  </si>
  <si>
    <t>Lamp Replace Cycle</t>
  </si>
  <si>
    <t>Annual Pool</t>
  </si>
  <si>
    <t>Total Pool (Max)</t>
  </si>
  <si>
    <t>Annual Max</t>
  </si>
  <si>
    <t>INCREMENTAL ACHIEVABILITY</t>
  </si>
  <si>
    <t>Program Max</t>
  </si>
  <si>
    <t>CUMULATIVE ADOPTION</t>
  </si>
  <si>
    <t>Existing Stock</t>
  </si>
  <si>
    <t>Carryover from Untreated New</t>
  </si>
  <si>
    <t>TOTAL</t>
  </si>
  <si>
    <t>kWh per Luminaire</t>
  </si>
  <si>
    <t>segment</t>
  </si>
  <si>
    <t>measure</t>
  </si>
  <si>
    <t>Max Annual Available</t>
  </si>
  <si>
    <t>SC-NR</t>
  </si>
  <si>
    <t>\\nas2\Q\SeventhPlan\Conservation Analysis\Global EE Inputs\MC Files\MC_AND_LOADSHAPE_v3.0_24segment-7P-D9 - NewSegValues.xlsx</t>
  </si>
  <si>
    <t>New streetlights based on population growth and luminaires per 1000 population.</t>
  </si>
  <si>
    <t>Cumulative at Earliest Deployment</t>
  </si>
  <si>
    <t>Check LED power for 250 and 1000W - may be dated</t>
  </si>
  <si>
    <t>Saturday, 10 January , 2015 at 10:56 PM</t>
  </si>
  <si>
    <t>Based on DOE2014 Forecast</t>
  </si>
  <si>
    <t>Monday, 12 January , 2015 at 11:23 AM</t>
  </si>
  <si>
    <t>Stock Count</t>
  </si>
  <si>
    <t>Count LED Installed by 2015</t>
  </si>
  <si>
    <t>New measures.  Lower LED power and price.</t>
  </si>
  <si>
    <t>All SSL fixtures.  For NR at time of lamp change or lift truck access.</t>
  </si>
  <si>
    <t>DOE 2014 SSL Forecast</t>
  </si>
  <si>
    <t>Q:\SeventhPlan\Conservation Analysis\Com\Streetlight\Data</t>
  </si>
  <si>
    <t>Internal workpapers on luminaire count</t>
  </si>
  <si>
    <t>Estimated at 70,000 hours. 16 year life on photocell or astrologic control</t>
  </si>
  <si>
    <t>Street and Roadway Lighting</t>
  </si>
  <si>
    <t>no est</t>
  </si>
  <si>
    <t>About 20% by end of 2015.</t>
  </si>
  <si>
    <t>Updated 2014 from utility data</t>
  </si>
  <si>
    <t>2014 municipal data from bids.  Then forecast to 2017.</t>
  </si>
</sst>
</file>

<file path=xl/styles.xml><?xml version="1.0" encoding="utf-8"?>
<styleSheet xmlns="http://schemas.openxmlformats.org/spreadsheetml/2006/main">
  <numFmts count="19">
    <numFmt numFmtId="5" formatCode="&quot;$&quot;#,##0_);\(&quot;$&quot;#,##0\)"/>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 #,##0_);_(* \(#,##0\);_(* &quot;-&quot;??_);_(@_)"/>
    <numFmt numFmtId="169" formatCode="_(&quot;$&quot;* #,##0_);_(&quot;$&quot;* \(#,##0\);_(&quot;$&quot;* &quot;-&quot;??_);_(@_)"/>
    <numFmt numFmtId="170" formatCode="_(* #,##0.0_);_(* \(#,##0.0\);_(* &quot;-&quot;??_);_(@_)"/>
    <numFmt numFmtId="171" formatCode="0.0%"/>
    <numFmt numFmtId="172" formatCode="0.000"/>
    <numFmt numFmtId="173" formatCode="#,##0.000"/>
    <numFmt numFmtId="174" formatCode="0.0;[Red]\-0.0"/>
    <numFmt numFmtId="175" formatCode="m/d/\ h:mm"/>
    <numFmt numFmtId="176" formatCode="_(&quot;$&quot;* #,##0.0_);_(&quot;$&quot;* \(#,##0.0\);_(&quot;$&quot;* &quot;-&quot;??_);_(@_)"/>
    <numFmt numFmtId="177" formatCode="\ "/>
    <numFmt numFmtId="178" formatCode="_(* #,##0.000_);_(* \(#,##0.000\);_(* &quot;-&quot;?_);_(@_)"/>
    <numFmt numFmtId="179" formatCode="_(* #,##0.0_);_(* \(#,##0.0\);_(* &quot;-&quot;?_);_(@_)"/>
  </numFmts>
  <fonts count="58">
    <font>
      <sz val="10"/>
      <color theme="1"/>
      <name val="Arial"/>
      <family val="2"/>
    </font>
    <font>
      <sz val="10"/>
      <color theme="1"/>
      <name val="Arial"/>
      <family val="2"/>
    </font>
    <font>
      <b/>
      <sz val="10"/>
      <color theme="1"/>
      <name val="Arial"/>
      <family val="2"/>
    </font>
    <font>
      <sz val="11"/>
      <color theme="1"/>
      <name val="Calibri"/>
      <family val="2"/>
      <scheme val="minor"/>
    </font>
    <font>
      <b/>
      <sz val="14"/>
      <color theme="1"/>
      <name val="Calibri"/>
      <family val="2"/>
      <scheme val="minor"/>
    </font>
    <font>
      <sz val="10"/>
      <name val="Arial"/>
      <family val="2"/>
    </font>
    <font>
      <b/>
      <sz val="11"/>
      <name val="Calibri"/>
      <family val="2"/>
      <scheme val="minor"/>
    </font>
    <font>
      <sz val="11"/>
      <name val="Calibri"/>
      <family val="2"/>
      <scheme val="minor"/>
    </font>
    <font>
      <sz val="12"/>
      <name val="Arial"/>
      <family val="2"/>
    </font>
    <font>
      <b/>
      <i/>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b/>
      <sz val="8"/>
      <color indexed="81"/>
      <name val="Tahoma"/>
      <family val="2"/>
    </font>
    <font>
      <sz val="8"/>
      <color indexed="81"/>
      <name val="Tahoma"/>
      <family val="2"/>
    </font>
    <font>
      <i/>
      <sz val="10"/>
      <name val="Arial"/>
      <family val="2"/>
    </font>
    <font>
      <u/>
      <sz val="10"/>
      <color indexed="12"/>
      <name val="Arial"/>
      <family val="2"/>
    </font>
    <font>
      <sz val="10"/>
      <color indexed="10"/>
      <name val="Arial"/>
      <family val="2"/>
    </font>
    <font>
      <sz val="12"/>
      <name val="Times New Roman"/>
      <family val="1"/>
    </font>
    <font>
      <b/>
      <sz val="12"/>
      <name val="Times New Roman"/>
      <family val="1"/>
    </font>
    <font>
      <b/>
      <sz val="11"/>
      <color theme="1"/>
      <name val="Calibri"/>
      <family val="2"/>
      <scheme val="minor"/>
    </font>
    <font>
      <b/>
      <sz val="9"/>
      <color indexed="81"/>
      <name val="Tahoma"/>
      <family val="2"/>
    </font>
    <font>
      <sz val="9"/>
      <color indexed="81"/>
      <name val="Tahoma"/>
      <family val="2"/>
    </font>
    <font>
      <sz val="12"/>
      <color theme="1"/>
      <name val="Palatino Linotype"/>
      <family val="2"/>
    </font>
    <font>
      <sz val="12"/>
      <color theme="1"/>
      <name val="Calibri"/>
      <family val="2"/>
      <scheme val="minor"/>
    </font>
    <font>
      <sz val="12"/>
      <color rgb="FFFF0000"/>
      <name val="Calibri"/>
      <family val="2"/>
      <scheme val="minor"/>
    </font>
    <font>
      <sz val="10"/>
      <color theme="1"/>
      <name val="Calibri"/>
      <family val="2"/>
      <scheme val="minor"/>
    </font>
    <font>
      <b/>
      <sz val="12"/>
      <color theme="1"/>
      <name val="Calibri"/>
      <family val="2"/>
      <scheme val="minor"/>
    </font>
    <font>
      <sz val="10"/>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theme="10"/>
      <name val="Arial"/>
      <family val="2"/>
    </font>
    <font>
      <sz val="11"/>
      <color indexed="62"/>
      <name val="Calibri"/>
      <family val="2"/>
    </font>
    <font>
      <sz val="11"/>
      <color indexed="52"/>
      <name val="Calibri"/>
      <family val="2"/>
    </font>
    <font>
      <sz val="11"/>
      <color indexed="60"/>
      <name val="Calibri"/>
      <family val="2"/>
    </font>
    <font>
      <sz val="10"/>
      <name val="MS Sans Serif"/>
      <family val="2"/>
    </font>
    <font>
      <b/>
      <sz val="11"/>
      <color indexed="63"/>
      <name val="Calibri"/>
      <family val="2"/>
    </font>
    <font>
      <b/>
      <sz val="18"/>
      <color indexed="56"/>
      <name val="Cambria"/>
      <family val="2"/>
    </font>
    <font>
      <b/>
      <sz val="18"/>
      <color indexed="62"/>
      <name val="Cambria"/>
      <family val="2"/>
    </font>
    <font>
      <b/>
      <sz val="11"/>
      <color indexed="8"/>
      <name val="Calibri"/>
      <family val="2"/>
    </font>
    <font>
      <sz val="11"/>
      <color indexed="10"/>
      <name val="Calibri"/>
      <family val="2"/>
    </font>
    <font>
      <sz val="10"/>
      <color theme="0"/>
      <name val="Arial"/>
      <family val="2"/>
    </font>
    <font>
      <sz val="10"/>
      <color theme="1" tint="0.499984740745262"/>
      <name val="Arial"/>
      <family val="2"/>
    </font>
    <font>
      <sz val="10"/>
      <color rgb="FF000000"/>
      <name val="Calibri"/>
      <family val="2"/>
    </font>
    <font>
      <sz val="10"/>
      <color theme="0" tint="-0.34998626667073579"/>
      <name val="Arial"/>
      <family val="2"/>
    </font>
    <font>
      <sz val="10"/>
      <color theme="0" tint="-0.499984740745262"/>
      <name val="Arial"/>
      <family val="2"/>
    </font>
  </fonts>
  <fills count="60">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theme="3"/>
        <bgColor indexed="64"/>
      </patternFill>
    </fill>
    <fill>
      <patternFill patternType="solid">
        <fgColor theme="6"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indexed="43"/>
        <bgColor indexed="64"/>
      </patternFill>
    </fill>
    <fill>
      <patternFill patternType="solid">
        <fgColor indexed="14"/>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44"/>
        <bgColor indexed="64"/>
      </patternFill>
    </fill>
    <fill>
      <patternFill patternType="solid">
        <fgColor indexed="45"/>
        <bgColor indexed="64"/>
      </patternFill>
    </fill>
    <fill>
      <patternFill patternType="solid">
        <fgColor indexed="52"/>
        <bgColor indexed="64"/>
      </patternFill>
    </fill>
    <fill>
      <patternFill patternType="solid">
        <fgColor indexed="31"/>
        <bgColor indexed="64"/>
      </patternFill>
    </fill>
    <fill>
      <patternFill patternType="solid">
        <fgColor theme="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99"/>
        <bgColor indexed="64"/>
      </patternFill>
    </fill>
    <fill>
      <patternFill patternType="solid">
        <fgColor indexed="60"/>
        <bgColor indexed="64"/>
      </patternFill>
    </fill>
    <fill>
      <patternFill patternType="solid">
        <fgColor indexed="57"/>
        <bgColor indexed="64"/>
      </patternFill>
    </fill>
    <fill>
      <patternFill patternType="solid">
        <fgColor indexed="31"/>
      </patternFill>
    </fill>
    <fill>
      <patternFill patternType="solid">
        <fgColor indexed="9"/>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rgb="FFD9D9D9"/>
        <bgColor indexed="64"/>
      </patternFill>
    </fill>
    <fill>
      <patternFill patternType="solid">
        <fgColor rgb="FFDBE5F1"/>
        <bgColor indexed="64"/>
      </patternFill>
    </fill>
    <fill>
      <patternFill patternType="solid">
        <fgColor rgb="FFEAF1DD"/>
        <bgColor indexed="64"/>
      </patternFill>
    </fill>
    <fill>
      <patternFill patternType="solid">
        <fgColor theme="4" tint="0.59999389629810485"/>
        <bgColor indexed="64"/>
      </patternFill>
    </fill>
    <fill>
      <patternFill patternType="solid">
        <fgColor theme="0" tint="-0.14999847407452621"/>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s>
  <cellStyleXfs count="2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alignment readingOrder="1"/>
    </xf>
    <xf numFmtId="0" fontId="5" fillId="0" borderId="0">
      <alignment readingOrder="1"/>
    </xf>
    <xf numFmtId="0" fontId="5" fillId="0" borderId="0"/>
    <xf numFmtId="0" fontId="8"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9" fillId="0" borderId="0" applyNumberFormat="0" applyFill="0" applyBorder="0" applyAlignment="0" applyProtection="0">
      <alignment vertical="top"/>
      <protection locked="0"/>
    </xf>
    <xf numFmtId="0" fontId="5" fillId="0" borderId="0"/>
    <xf numFmtId="0" fontId="5" fillId="14" borderId="0" applyNumberFormat="0" applyAlignment="0">
      <alignment horizontal="right"/>
    </xf>
    <xf numFmtId="0" fontId="5" fillId="13" borderId="0" applyNumberFormat="0" applyAlignment="0"/>
    <xf numFmtId="175" fontId="21" fillId="0" borderId="0"/>
    <xf numFmtId="0" fontId="22" fillId="0" borderId="0">
      <alignment horizontal="center" wrapText="1"/>
    </xf>
    <xf numFmtId="0" fontId="5" fillId="0" borderId="0"/>
    <xf numFmtId="0" fontId="5" fillId="0" borderId="0"/>
    <xf numFmtId="0" fontId="26" fillId="0" borderId="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7" borderId="0" applyNumberFormat="0" applyBorder="0" applyAlignment="0" applyProtection="0"/>
    <xf numFmtId="0" fontId="32" fillId="29"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27" borderId="0" applyNumberFormat="0" applyBorder="0" applyAlignment="0" applyProtection="0"/>
    <xf numFmtId="0" fontId="32" fillId="35" borderId="0" applyNumberFormat="0" applyBorder="0" applyAlignment="0" applyProtection="0"/>
    <xf numFmtId="0" fontId="32" fillId="27" borderId="0" applyNumberFormat="0" applyBorder="0" applyAlignment="0" applyProtection="0"/>
    <xf numFmtId="0" fontId="32" fillId="29" borderId="0" applyNumberFormat="0" applyBorder="0" applyAlignment="0" applyProtection="0"/>
    <xf numFmtId="0" fontId="32" fillId="33" borderId="0" applyNumberFormat="0" applyBorder="0" applyAlignment="0" applyProtection="0"/>
    <xf numFmtId="0" fontId="32" fillId="32" borderId="0" applyNumberFormat="0" applyBorder="0" applyAlignment="0" applyProtection="0"/>
    <xf numFmtId="0" fontId="32" fillId="36" borderId="0" applyNumberFormat="0" applyBorder="0" applyAlignment="0" applyProtection="0"/>
    <xf numFmtId="0" fontId="32" fillId="31"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27" borderId="0" applyNumberFormat="0" applyBorder="0" applyAlignment="0" applyProtection="0"/>
    <xf numFmtId="0" fontId="33" fillId="35" borderId="0" applyNumberFormat="0" applyBorder="0" applyAlignment="0" applyProtection="0"/>
    <xf numFmtId="0" fontId="33" fillId="27" borderId="0" applyNumberFormat="0" applyBorder="0" applyAlignment="0" applyProtection="0"/>
    <xf numFmtId="0" fontId="33" fillId="39"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27" borderId="0" applyNumberFormat="0" applyBorder="0" applyAlignment="0" applyProtection="0"/>
    <xf numFmtId="0" fontId="33" fillId="39" borderId="0" applyNumberFormat="0" applyBorder="0" applyAlignment="0" applyProtection="0"/>
    <xf numFmtId="0" fontId="33" fillId="44" borderId="0" applyNumberFormat="0" applyBorder="0" applyAlignment="0" applyProtection="0"/>
    <xf numFmtId="0" fontId="33" fillId="38" borderId="0" applyNumberFormat="0" applyBorder="0" applyAlignment="0" applyProtection="0"/>
    <xf numFmtId="0" fontId="33" fillId="45" borderId="0" applyNumberFormat="0" applyBorder="0" applyAlignment="0" applyProtection="0"/>
    <xf numFmtId="0" fontId="34" fillId="27" borderId="0" applyNumberFormat="0" applyBorder="0" applyAlignment="0" applyProtection="0"/>
    <xf numFmtId="0" fontId="34" fillId="29" borderId="0" applyNumberFormat="0" applyBorder="0" applyAlignment="0" applyProtection="0"/>
    <xf numFmtId="0" fontId="35" fillId="33" borderId="25" applyNumberFormat="0" applyAlignment="0" applyProtection="0"/>
    <xf numFmtId="0" fontId="35" fillId="26" borderId="25" applyNumberFormat="0" applyAlignment="0" applyProtection="0"/>
    <xf numFmtId="0" fontId="36" fillId="46" borderId="26"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14" borderId="0" applyNumberFormat="0" applyAlignment="0">
      <alignment horizontal="right"/>
    </xf>
    <xf numFmtId="0" fontId="5" fillId="14" borderId="0" applyNumberFormat="0" applyAlignment="0">
      <alignment horizontal="right"/>
    </xf>
    <xf numFmtId="0" fontId="5" fillId="14" borderId="0" applyNumberFormat="0" applyAlignment="0">
      <alignment horizontal="right"/>
    </xf>
    <xf numFmtId="0" fontId="5" fillId="14" borderId="0" applyNumberFormat="0" applyAlignment="0">
      <alignment horizontal="right"/>
    </xf>
    <xf numFmtId="0" fontId="5" fillId="14" borderId="0" applyNumberFormat="0" applyAlignment="0">
      <alignment horizontal="right"/>
    </xf>
    <xf numFmtId="0" fontId="37" fillId="0" borderId="0" applyNumberFormat="0" applyFill="0" applyBorder="0" applyAlignment="0" applyProtection="0"/>
    <xf numFmtId="0" fontId="38" fillId="28" borderId="0" applyNumberFormat="0" applyBorder="0" applyAlignment="0" applyProtection="0"/>
    <xf numFmtId="0" fontId="39" fillId="0" borderId="27" applyNumberFormat="0" applyFill="0" applyAlignment="0" applyProtection="0"/>
    <xf numFmtId="0" fontId="40" fillId="0" borderId="28" applyNumberFormat="0" applyFill="0" applyAlignment="0" applyProtection="0"/>
    <xf numFmtId="0" fontId="41" fillId="0" borderId="29" applyNumberFormat="0" applyFill="0" applyAlignment="0" applyProtection="0"/>
    <xf numFmtId="0" fontId="42" fillId="0" borderId="30"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19"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4" fillId="31" borderId="25" applyNumberFormat="0" applyAlignment="0" applyProtection="0"/>
    <xf numFmtId="0" fontId="45" fillId="0" borderId="31" applyNumberFormat="0" applyFill="0" applyAlignment="0" applyProtection="0"/>
    <xf numFmtId="0" fontId="46" fillId="47" borderId="0" applyNumberFormat="0" applyBorder="0" applyAlignment="0" applyProtection="0"/>
    <xf numFmtId="0" fontId="32" fillId="0" borderId="0"/>
    <xf numFmtId="0" fontId="32" fillId="0" borderId="0"/>
    <xf numFmtId="0" fontId="32" fillId="0" borderId="0"/>
    <xf numFmtId="0" fontId="5" fillId="0" borderId="0"/>
    <xf numFmtId="0" fontId="3" fillId="0" borderId="0"/>
    <xf numFmtId="0" fontId="5" fillId="0" borderId="0">
      <alignment readingOrder="1"/>
    </xf>
    <xf numFmtId="0" fontId="3" fillId="0" borderId="0"/>
    <xf numFmtId="0" fontId="3" fillId="0" borderId="0"/>
    <xf numFmtId="0" fontId="3" fillId="0" borderId="0"/>
    <xf numFmtId="0" fontId="3" fillId="0" borderId="0"/>
    <xf numFmtId="0" fontId="3" fillId="0" borderId="0"/>
    <xf numFmtId="0" fontId="5" fillId="0" borderId="0">
      <alignment readingOrder="1"/>
    </xf>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2" fillId="0" borderId="0"/>
    <xf numFmtId="0" fontId="32" fillId="0" borderId="0"/>
    <xf numFmtId="0" fontId="5" fillId="0" borderId="0"/>
    <xf numFmtId="0" fontId="5" fillId="0" borderId="0">
      <alignment readingOrder="1"/>
    </xf>
    <xf numFmtId="0" fontId="5" fillId="0" borderId="0">
      <alignment readingOrder="1"/>
    </xf>
    <xf numFmtId="0" fontId="5" fillId="0" borderId="0">
      <alignment readingOrder="1"/>
    </xf>
    <xf numFmtId="0" fontId="32" fillId="0" borderId="0"/>
    <xf numFmtId="0" fontId="5" fillId="0" borderId="0">
      <alignment readingOrder="1"/>
    </xf>
    <xf numFmtId="0" fontId="5" fillId="0" borderId="0"/>
    <xf numFmtId="0" fontId="5" fillId="0" borderId="0">
      <alignment readingOrder="1"/>
    </xf>
    <xf numFmtId="0" fontId="5" fillId="0" borderId="0"/>
    <xf numFmtId="0" fontId="5" fillId="0" borderId="0"/>
    <xf numFmtId="0" fontId="5" fillId="0" borderId="0"/>
    <xf numFmtId="0" fontId="5" fillId="0" borderId="0"/>
    <xf numFmtId="0" fontId="5" fillId="0" borderId="0"/>
    <xf numFmtId="0" fontId="3" fillId="0" borderId="0"/>
    <xf numFmtId="0" fontId="3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32" fillId="0" borderId="0"/>
    <xf numFmtId="0" fontId="47" fillId="0" borderId="0"/>
    <xf numFmtId="0" fontId="32" fillId="0" borderId="0"/>
    <xf numFmtId="0" fontId="32" fillId="0" borderId="0"/>
    <xf numFmtId="0" fontId="32" fillId="0" borderId="0"/>
    <xf numFmtId="0" fontId="32" fillId="0" borderId="0"/>
    <xf numFmtId="0" fontId="5" fillId="0" borderId="0">
      <alignment readingOrder="1"/>
    </xf>
    <xf numFmtId="0" fontId="5" fillId="0" borderId="0">
      <alignment readingOrder="1"/>
    </xf>
    <xf numFmtId="0" fontId="5" fillId="0" borderId="0">
      <alignment readingOrder="1"/>
    </xf>
    <xf numFmtId="0" fontId="32" fillId="48" borderId="32" applyNumberFormat="0" applyFont="0" applyAlignment="0" applyProtection="0"/>
    <xf numFmtId="0" fontId="5" fillId="48" borderId="32" applyNumberFormat="0" applyFont="0" applyAlignment="0" applyProtection="0"/>
    <xf numFmtId="0" fontId="48" fillId="33" borderId="33" applyNumberFormat="0" applyAlignment="0" applyProtection="0"/>
    <xf numFmtId="0" fontId="48" fillId="26" borderId="33"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34" applyNumberFormat="0" applyFill="0" applyAlignment="0" applyProtection="0"/>
    <xf numFmtId="0" fontId="51" fillId="0" borderId="35" applyNumberFormat="0" applyFill="0" applyAlignment="0" applyProtection="0"/>
    <xf numFmtId="0" fontId="52" fillId="0" borderId="0" applyNumberFormat="0" applyFill="0" applyBorder="0" applyAlignment="0" applyProtection="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489">
    <xf numFmtId="0" fontId="0" fillId="0" borderId="0" xfId="0"/>
    <xf numFmtId="0" fontId="3" fillId="0" borderId="0" xfId="0" applyFont="1"/>
    <xf numFmtId="0" fontId="9" fillId="0" borderId="0" xfId="7" applyFont="1"/>
    <xf numFmtId="0" fontId="10" fillId="0" borderId="0" xfId="8" applyFont="1"/>
    <xf numFmtId="0" fontId="5" fillId="0" borderId="0" xfId="7" applyFont="1"/>
    <xf numFmtId="5" fontId="5" fillId="0" borderId="0" xfId="7" applyNumberFormat="1" applyFont="1"/>
    <xf numFmtId="164" fontId="5" fillId="0" borderId="0" xfId="7" applyNumberFormat="1" applyFont="1"/>
    <xf numFmtId="164" fontId="10" fillId="0" borderId="0" xfId="7" applyNumberFormat="1" applyFont="1"/>
    <xf numFmtId="0" fontId="5" fillId="0" borderId="0" xfId="7" applyFont="1" applyFill="1"/>
    <xf numFmtId="165" fontId="5" fillId="0" borderId="0" xfId="7" applyNumberFormat="1" applyFont="1"/>
    <xf numFmtId="0" fontId="9" fillId="0" borderId="0" xfId="7" applyFont="1" applyAlignment="1">
      <alignment horizontal="left"/>
    </xf>
    <xf numFmtId="0" fontId="0" fillId="0" borderId="0" xfId="0">
      <alignment readingOrder="1"/>
    </xf>
    <xf numFmtId="166" fontId="0" fillId="0" borderId="0" xfId="0" applyNumberFormat="1" applyAlignment="1">
      <alignment horizontal="center" readingOrder="1"/>
    </xf>
    <xf numFmtId="167" fontId="0" fillId="0" borderId="0" xfId="0" applyNumberFormat="1" applyAlignment="1">
      <alignment horizontal="center" readingOrder="1"/>
    </xf>
    <xf numFmtId="0" fontId="5" fillId="0" borderId="0" xfId="0" applyFont="1">
      <alignment readingOrder="1"/>
    </xf>
    <xf numFmtId="0" fontId="5" fillId="0" borderId="0" xfId="7" applyFont="1" applyAlignment="1">
      <alignment horizontal="center"/>
    </xf>
    <xf numFmtId="0" fontId="11" fillId="2" borderId="6" xfId="7" applyFont="1" applyFill="1" applyBorder="1" applyAlignment="1">
      <alignment horizontal="centerContinuous"/>
    </xf>
    <xf numFmtId="0" fontId="12" fillId="2" borderId="6" xfId="7" applyFont="1" applyFill="1" applyBorder="1" applyAlignment="1">
      <alignment horizontal="centerContinuous"/>
    </xf>
    <xf numFmtId="0" fontId="12" fillId="2" borderId="7" xfId="7" applyFont="1" applyFill="1" applyBorder="1" applyAlignment="1">
      <alignment horizontal="centerContinuous"/>
    </xf>
    <xf numFmtId="0" fontId="13" fillId="2" borderId="8" xfId="7" applyFont="1" applyFill="1" applyBorder="1" applyAlignment="1">
      <alignment horizontal="centerContinuous"/>
    </xf>
    <xf numFmtId="0" fontId="12" fillId="5" borderId="8" xfId="7" applyFont="1" applyFill="1" applyBorder="1" applyAlignment="1">
      <alignment horizontal="center"/>
    </xf>
    <xf numFmtId="0" fontId="12" fillId="0" borderId="0" xfId="7" applyFont="1" applyFill="1" applyBorder="1" applyAlignment="1">
      <alignment horizontal="centerContinuous"/>
    </xf>
    <xf numFmtId="0" fontId="13" fillId="0" borderId="0" xfId="7" applyFont="1" applyFill="1" applyBorder="1" applyAlignment="1">
      <alignment horizontal="centerContinuous"/>
    </xf>
    <xf numFmtId="0" fontId="14" fillId="0" borderId="0" xfId="7" applyFont="1" applyFill="1" applyBorder="1" applyAlignment="1">
      <alignment horizontal="centerContinuous"/>
    </xf>
    <xf numFmtId="0" fontId="5" fillId="0" borderId="0" xfId="7" applyFont="1" applyFill="1" applyBorder="1"/>
    <xf numFmtId="0" fontId="14" fillId="7" borderId="5" xfId="7" applyFont="1" applyFill="1" applyBorder="1" applyAlignment="1">
      <alignment horizontal="center" wrapText="1"/>
    </xf>
    <xf numFmtId="0" fontId="14" fillId="7" borderId="11" xfId="7" applyFont="1" applyFill="1" applyBorder="1" applyAlignment="1">
      <alignment horizontal="center" wrapText="1"/>
    </xf>
    <xf numFmtId="0" fontId="14" fillId="7" borderId="4" xfId="7" applyFont="1" applyFill="1" applyBorder="1" applyAlignment="1">
      <alignment horizontal="center" wrapText="1"/>
    </xf>
    <xf numFmtId="0" fontId="14" fillId="7" borderId="4" xfId="0" applyFont="1" applyFill="1" applyBorder="1" applyAlignment="1">
      <alignment horizontal="center" wrapText="1"/>
    </xf>
    <xf numFmtId="0" fontId="14" fillId="8" borderId="8" xfId="7" applyFont="1" applyFill="1" applyBorder="1" applyAlignment="1">
      <alignment horizontal="center" wrapText="1"/>
    </xf>
    <xf numFmtId="0" fontId="14" fillId="8" borderId="5" xfId="7" applyFont="1" applyFill="1" applyBorder="1" applyAlignment="1">
      <alignment horizontal="center" wrapText="1"/>
    </xf>
    <xf numFmtId="0" fontId="14" fillId="0" borderId="0" xfId="7" applyFont="1" applyFill="1" applyBorder="1" applyAlignment="1">
      <alignment horizontal="center" wrapText="1"/>
    </xf>
    <xf numFmtId="164" fontId="0" fillId="0" borderId="0" xfId="0" applyNumberFormat="1">
      <alignment readingOrder="1"/>
    </xf>
    <xf numFmtId="168" fontId="5" fillId="0" borderId="0" xfId="1" applyNumberFormat="1" applyFont="1">
      <alignment readingOrder="1"/>
    </xf>
    <xf numFmtId="0" fontId="5" fillId="0" borderId="0" xfId="5">
      <alignment readingOrder="1"/>
    </xf>
    <xf numFmtId="169" fontId="5" fillId="0" borderId="0" xfId="2" applyNumberFormat="1" applyFont="1">
      <alignment readingOrder="1"/>
    </xf>
    <xf numFmtId="0" fontId="5" fillId="0" borderId="0" xfId="6" applyFont="1"/>
    <xf numFmtId="164" fontId="0" fillId="0" borderId="0" xfId="0" applyNumberFormat="1" applyAlignment="1">
      <alignment horizontal="center" readingOrder="1"/>
    </xf>
    <xf numFmtId="0" fontId="5" fillId="0" borderId="0" xfId="5" applyFont="1" applyAlignment="1">
      <alignment horizontal="center" readingOrder="1"/>
    </xf>
    <xf numFmtId="0" fontId="4" fillId="6" borderId="2" xfId="0" applyFont="1" applyFill="1" applyBorder="1"/>
    <xf numFmtId="168" fontId="5" fillId="0" borderId="0" xfId="5" applyNumberFormat="1">
      <alignment readingOrder="1"/>
    </xf>
    <xf numFmtId="169" fontId="5" fillId="0" borderId="0" xfId="5" applyNumberFormat="1">
      <alignment readingOrder="1"/>
    </xf>
    <xf numFmtId="168" fontId="0" fillId="0" borderId="0" xfId="9" applyNumberFormat="1" applyFont="1">
      <alignment readingOrder="1"/>
    </xf>
    <xf numFmtId="170" fontId="5" fillId="0" borderId="0" xfId="5" applyNumberFormat="1">
      <alignment readingOrder="1"/>
    </xf>
    <xf numFmtId="169" fontId="0" fillId="0" borderId="0" xfId="10" applyNumberFormat="1" applyFont="1">
      <alignment readingOrder="1"/>
    </xf>
    <xf numFmtId="168" fontId="0" fillId="0" borderId="0" xfId="9" applyNumberFormat="1" applyFont="1" applyAlignment="1">
      <alignment readingOrder="1"/>
    </xf>
    <xf numFmtId="44" fontId="0" fillId="0" borderId="0" xfId="10" applyFont="1">
      <alignment readingOrder="1"/>
    </xf>
    <xf numFmtId="9" fontId="0" fillId="0" borderId="0" xfId="11" applyFont="1">
      <alignment readingOrder="1"/>
    </xf>
    <xf numFmtId="171" fontId="5" fillId="0" borderId="0" xfId="5" applyNumberFormat="1">
      <alignment readingOrder="1"/>
    </xf>
    <xf numFmtId="9" fontId="5" fillId="0" borderId="0" xfId="5" applyNumberFormat="1">
      <alignment readingOrder="1"/>
    </xf>
    <xf numFmtId="44" fontId="5" fillId="0" borderId="0" xfId="5" applyNumberFormat="1">
      <alignment readingOrder="1"/>
    </xf>
    <xf numFmtId="2" fontId="5" fillId="0" borderId="0" xfId="5" applyNumberFormat="1">
      <alignment readingOrder="1"/>
    </xf>
    <xf numFmtId="0" fontId="5" fillId="0" borderId="0" xfId="5" applyAlignment="1">
      <alignment wrapText="1" readingOrder="1"/>
    </xf>
    <xf numFmtId="0" fontId="5" fillId="11" borderId="0" xfId="5" applyFill="1">
      <alignment readingOrder="1"/>
    </xf>
    <xf numFmtId="1" fontId="5" fillId="0" borderId="0" xfId="5" applyNumberFormat="1">
      <alignment readingOrder="1"/>
    </xf>
    <xf numFmtId="168" fontId="5" fillId="0" borderId="0" xfId="9" applyNumberFormat="1">
      <alignment readingOrder="1"/>
    </xf>
    <xf numFmtId="43" fontId="5" fillId="0" borderId="0" xfId="5" applyNumberFormat="1">
      <alignment readingOrder="1"/>
    </xf>
    <xf numFmtId="168" fontId="5" fillId="0" borderId="0" xfId="9" applyNumberFormat="1" applyFont="1" applyAlignment="1">
      <alignment readingOrder="1"/>
    </xf>
    <xf numFmtId="0" fontId="19" fillId="0" borderId="0" xfId="12" applyAlignment="1" applyProtection="1">
      <alignment readingOrder="1"/>
    </xf>
    <xf numFmtId="0" fontId="5" fillId="10" borderId="5" xfId="13" applyFont="1" applyFill="1" applyBorder="1" applyAlignment="1">
      <alignment wrapText="1"/>
    </xf>
    <xf numFmtId="0" fontId="5" fillId="13" borderId="5" xfId="13" applyFont="1" applyFill="1" applyBorder="1" applyAlignment="1">
      <alignment wrapText="1"/>
    </xf>
    <xf numFmtId="0" fontId="5" fillId="11" borderId="5" xfId="13" applyFont="1" applyFill="1" applyBorder="1" applyAlignment="1">
      <alignment wrapText="1"/>
    </xf>
    <xf numFmtId="0" fontId="5" fillId="0" borderId="0" xfId="5" applyFill="1" applyBorder="1">
      <alignment readingOrder="1"/>
    </xf>
    <xf numFmtId="164" fontId="5" fillId="0" borderId="0" xfId="5" applyNumberFormat="1">
      <alignment readingOrder="1"/>
    </xf>
    <xf numFmtId="0" fontId="15" fillId="15" borderId="0" xfId="13" applyFont="1" applyFill="1"/>
    <xf numFmtId="0" fontId="5" fillId="15" borderId="0" xfId="13" applyFill="1"/>
    <xf numFmtId="0" fontId="5" fillId="0" borderId="0" xfId="13"/>
    <xf numFmtId="0" fontId="15" fillId="0" borderId="0" xfId="13" applyFont="1" applyFill="1"/>
    <xf numFmtId="0" fontId="5" fillId="0" borderId="0" xfId="13" applyFill="1"/>
    <xf numFmtId="0" fontId="19" fillId="0" borderId="0" xfId="12" applyFill="1" applyAlignment="1" applyProtection="1"/>
    <xf numFmtId="0" fontId="5" fillId="12" borderId="5" xfId="13" applyFill="1" applyBorder="1"/>
    <xf numFmtId="0" fontId="5" fillId="12" borderId="0" xfId="13" applyFill="1"/>
    <xf numFmtId="0" fontId="5" fillId="12" borderId="5" xfId="13" applyFont="1" applyFill="1" applyBorder="1"/>
    <xf numFmtId="0" fontId="5" fillId="16" borderId="5" xfId="13" applyFill="1" applyBorder="1"/>
    <xf numFmtId="170" fontId="5" fillId="0" borderId="0" xfId="9" applyNumberFormat="1"/>
    <xf numFmtId="9" fontId="5" fillId="0" borderId="0" xfId="11"/>
    <xf numFmtId="0" fontId="5" fillId="0" borderId="0" xfId="13" applyFill="1" applyBorder="1"/>
    <xf numFmtId="0" fontId="5" fillId="0" borderId="0" xfId="13" applyFont="1" applyFill="1" applyBorder="1" applyAlignment="1">
      <alignment wrapText="1"/>
    </xf>
    <xf numFmtId="0" fontId="5" fillId="0" borderId="5" xfId="13" applyFont="1" applyBorder="1"/>
    <xf numFmtId="0" fontId="5" fillId="0" borderId="5" xfId="13" applyBorder="1"/>
    <xf numFmtId="2" fontId="5" fillId="0" borderId="9" xfId="13" applyNumberFormat="1" applyBorder="1"/>
    <xf numFmtId="2" fontId="5" fillId="0" borderId="5" xfId="13" applyNumberFormat="1" applyBorder="1"/>
    <xf numFmtId="9" fontId="5" fillId="0" borderId="0" xfId="13" applyNumberFormat="1"/>
    <xf numFmtId="168" fontId="0" fillId="0" borderId="0" xfId="9" applyNumberFormat="1" applyFont="1" applyFill="1" applyBorder="1">
      <alignment readingOrder="1"/>
    </xf>
    <xf numFmtId="9" fontId="5" fillId="0" borderId="0" xfId="5" applyNumberFormat="1" applyFill="1" applyBorder="1">
      <alignment readingOrder="1"/>
    </xf>
    <xf numFmtId="43" fontId="5" fillId="0" borderId="0" xfId="5" applyNumberFormat="1" applyFill="1" applyBorder="1">
      <alignment readingOrder="1"/>
    </xf>
    <xf numFmtId="172" fontId="5" fillId="0" borderId="9" xfId="13" applyNumberFormat="1" applyBorder="1"/>
    <xf numFmtId="1" fontId="5" fillId="0" borderId="0" xfId="13" applyNumberFormat="1"/>
    <xf numFmtId="1" fontId="5" fillId="0" borderId="5" xfId="13" applyNumberFormat="1" applyBorder="1"/>
    <xf numFmtId="164" fontId="5" fillId="0" borderId="5" xfId="13" applyNumberFormat="1" applyBorder="1"/>
    <xf numFmtId="0" fontId="5" fillId="0" borderId="0" xfId="13" applyFont="1"/>
    <xf numFmtId="168" fontId="5" fillId="0" borderId="5" xfId="9" applyNumberFormat="1" applyBorder="1"/>
    <xf numFmtId="9" fontId="5" fillId="0" borderId="5" xfId="11" applyBorder="1"/>
    <xf numFmtId="0" fontId="15" fillId="0" borderId="0" xfId="13" applyFont="1"/>
    <xf numFmtId="0" fontId="5" fillId="0" borderId="9" xfId="13" applyFont="1" applyBorder="1"/>
    <xf numFmtId="9" fontId="5" fillId="0" borderId="5" xfId="13" applyNumberFormat="1" applyBorder="1"/>
    <xf numFmtId="0" fontId="15" fillId="0" borderId="0" xfId="13" applyFont="1" applyFill="1" applyBorder="1"/>
    <xf numFmtId="0" fontId="5" fillId="0" borderId="0" xfId="13" applyFont="1" applyFill="1" applyBorder="1"/>
    <xf numFmtId="9" fontId="5" fillId="0" borderId="5" xfId="13" applyNumberFormat="1" applyFill="1" applyBorder="1"/>
    <xf numFmtId="0" fontId="5" fillId="0" borderId="5" xfId="13" applyFill="1" applyBorder="1"/>
    <xf numFmtId="0" fontId="5" fillId="0" borderId="0" xfId="13" applyFont="1" applyFill="1" applyBorder="1" applyAlignment="1">
      <alignment horizontal="center"/>
    </xf>
    <xf numFmtId="3" fontId="5" fillId="0" borderId="0" xfId="13" applyNumberFormat="1" applyFont="1" applyFill="1" applyBorder="1" applyAlignment="1">
      <alignment horizontal="right"/>
    </xf>
    <xf numFmtId="173" fontId="5" fillId="0" borderId="0" xfId="13" applyNumberFormat="1" applyFill="1" applyBorder="1" applyAlignment="1">
      <alignment horizontal="right"/>
    </xf>
    <xf numFmtId="1" fontId="5" fillId="0" borderId="0" xfId="13" applyNumberFormat="1" applyFill="1" applyBorder="1" applyAlignment="1">
      <alignment horizontal="right"/>
    </xf>
    <xf numFmtId="168" fontId="5" fillId="0" borderId="5" xfId="9" applyNumberFormat="1" applyFill="1" applyBorder="1"/>
    <xf numFmtId="0" fontId="19" fillId="0" borderId="0" xfId="12" applyFill="1" applyBorder="1" applyAlignment="1" applyProtection="1"/>
    <xf numFmtId="0" fontId="5" fillId="0" borderId="0" xfId="5" applyFill="1">
      <alignment readingOrder="1"/>
    </xf>
    <xf numFmtId="0" fontId="7" fillId="0" borderId="5" xfId="4" applyNumberFormat="1" applyFont="1" applyFill="1" applyBorder="1" applyAlignment="1">
      <alignment vertical="center" wrapText="1"/>
    </xf>
    <xf numFmtId="0" fontId="3" fillId="0" borderId="5" xfId="4" applyFont="1" applyFill="1" applyBorder="1" applyAlignment="1">
      <alignment vertical="center" wrapText="1"/>
    </xf>
    <xf numFmtId="0" fontId="7" fillId="0" borderId="5" xfId="4" applyFont="1" applyBorder="1" applyAlignment="1">
      <alignment vertical="center" wrapText="1"/>
    </xf>
    <xf numFmtId="0" fontId="0" fillId="0" borderId="0" xfId="0" applyAlignment="1">
      <alignment vertical="center"/>
    </xf>
    <xf numFmtId="0" fontId="5" fillId="0" borderId="0" xfId="5" applyAlignment="1">
      <alignment vertical="center"/>
    </xf>
    <xf numFmtId="0" fontId="5" fillId="0" borderId="0" xfId="13" applyFill="1" applyAlignment="1">
      <alignment vertical="center"/>
    </xf>
    <xf numFmtId="0" fontId="7" fillId="0" borderId="0" xfId="5" applyFont="1" applyAlignment="1">
      <alignment vertical="center"/>
    </xf>
    <xf numFmtId="0" fontId="7" fillId="0" borderId="0" xfId="13" applyFont="1" applyFill="1" applyAlignment="1">
      <alignment vertical="center"/>
    </xf>
    <xf numFmtId="0" fontId="0" fillId="0" borderId="0" xfId="0" applyBorder="1">
      <alignment readingOrder="1"/>
    </xf>
    <xf numFmtId="0" fontId="0" fillId="11" borderId="0" xfId="0" applyFill="1">
      <alignment readingOrder="1"/>
    </xf>
    <xf numFmtId="0" fontId="5" fillId="0" borderId="0" xfId="0" applyFont="1" applyBorder="1">
      <alignment readingOrder="1"/>
    </xf>
    <xf numFmtId="0" fontId="0" fillId="0" borderId="5" xfId="0" applyBorder="1" applyAlignment="1">
      <alignment vertical="center" wrapText="1"/>
    </xf>
    <xf numFmtId="0" fontId="3" fillId="0" borderId="5" xfId="0" applyFont="1" applyBorder="1" applyAlignment="1">
      <alignment wrapText="1"/>
    </xf>
    <xf numFmtId="0" fontId="5" fillId="0" borderId="0" xfId="5" applyFont="1">
      <alignment readingOrder="1"/>
    </xf>
    <xf numFmtId="0" fontId="5" fillId="6" borderId="5" xfId="5" applyFill="1" applyBorder="1" applyAlignment="1">
      <alignment wrapText="1" readingOrder="1"/>
    </xf>
    <xf numFmtId="0" fontId="5" fillId="6" borderId="5" xfId="5" applyFont="1" applyFill="1" applyBorder="1" applyAlignment="1">
      <alignment wrapText="1" readingOrder="1"/>
    </xf>
    <xf numFmtId="9" fontId="0" fillId="0" borderId="0" xfId="0" applyNumberFormat="1" applyBorder="1">
      <alignment readingOrder="1"/>
    </xf>
    <xf numFmtId="0" fontId="5" fillId="0" borderId="5" xfId="13" applyFont="1" applyFill="1" applyBorder="1" applyAlignment="1">
      <alignment wrapText="1"/>
    </xf>
    <xf numFmtId="0" fontId="5" fillId="0" borderId="5" xfId="13" applyFont="1" applyFill="1" applyBorder="1"/>
    <xf numFmtId="0" fontId="5" fillId="0" borderId="9" xfId="13" applyFill="1" applyBorder="1"/>
    <xf numFmtId="1" fontId="5" fillId="0" borderId="5" xfId="13" applyNumberFormat="1" applyFill="1" applyBorder="1"/>
    <xf numFmtId="9" fontId="5" fillId="0" borderId="5" xfId="11" applyFill="1" applyBorder="1"/>
    <xf numFmtId="164" fontId="5" fillId="0" borderId="5" xfId="13" applyNumberFormat="1" applyFill="1" applyBorder="1"/>
    <xf numFmtId="9" fontId="5" fillId="0" borderId="5" xfId="13" applyNumberFormat="1" applyFont="1" applyFill="1" applyBorder="1"/>
    <xf numFmtId="10" fontId="5" fillId="0" borderId="5" xfId="13" applyNumberFormat="1" applyFont="1" applyFill="1" applyBorder="1"/>
    <xf numFmtId="2" fontId="5" fillId="0" borderId="5" xfId="13" applyNumberFormat="1" applyFill="1" applyBorder="1"/>
    <xf numFmtId="0" fontId="5" fillId="0" borderId="9" xfId="13" applyFont="1" applyFill="1" applyBorder="1"/>
    <xf numFmtId="9" fontId="5" fillId="0" borderId="5" xfId="11" applyFont="1" applyFill="1" applyBorder="1"/>
    <xf numFmtId="1" fontId="5" fillId="0" borderId="5" xfId="9" applyNumberFormat="1" applyFill="1" applyBorder="1"/>
    <xf numFmtId="0" fontId="5" fillId="18" borderId="5" xfId="13" applyFill="1" applyBorder="1"/>
    <xf numFmtId="0" fontId="5" fillId="18" borderId="8" xfId="13" applyFont="1" applyFill="1" applyBorder="1" applyAlignment="1">
      <alignment horizontal="center"/>
    </xf>
    <xf numFmtId="9" fontId="5" fillId="18" borderId="5" xfId="13" applyNumberFormat="1" applyFill="1" applyBorder="1"/>
    <xf numFmtId="0" fontId="5" fillId="18" borderId="5" xfId="13" applyFont="1" applyFill="1" applyBorder="1" applyAlignment="1">
      <alignment wrapText="1"/>
    </xf>
    <xf numFmtId="0" fontId="5" fillId="18" borderId="5" xfId="13" applyFont="1" applyFill="1" applyBorder="1"/>
    <xf numFmtId="0" fontId="5" fillId="18" borderId="9" xfId="13" applyFont="1" applyFill="1" applyBorder="1" applyAlignment="1">
      <alignment wrapText="1"/>
    </xf>
    <xf numFmtId="0" fontId="0" fillId="13" borderId="0" xfId="0" applyFill="1">
      <alignment readingOrder="1"/>
    </xf>
    <xf numFmtId="0" fontId="0" fillId="0" borderId="0" xfId="0" applyAlignment="1">
      <alignment wrapText="1" readingOrder="1"/>
    </xf>
    <xf numFmtId="0" fontId="0" fillId="13" borderId="0" xfId="0" applyFill="1" applyAlignment="1">
      <alignment wrapText="1" readingOrder="1"/>
    </xf>
    <xf numFmtId="0" fontId="0" fillId="11" borderId="0" xfId="0" applyFill="1" applyAlignment="1">
      <alignment wrapText="1" readingOrder="1"/>
    </xf>
    <xf numFmtId="164" fontId="0" fillId="14" borderId="0" xfId="0" applyNumberFormat="1" applyFill="1" applyAlignment="1">
      <alignment wrapText="1" readingOrder="1"/>
    </xf>
    <xf numFmtId="0" fontId="0" fillId="0" borderId="7" xfId="0" applyBorder="1">
      <alignment readingOrder="1"/>
    </xf>
    <xf numFmtId="0" fontId="0" fillId="0" borderId="17" xfId="0" applyBorder="1">
      <alignment readingOrder="1"/>
    </xf>
    <xf numFmtId="0" fontId="0" fillId="0" borderId="18" xfId="0" applyBorder="1">
      <alignment readingOrder="1"/>
    </xf>
    <xf numFmtId="0" fontId="0" fillId="0" borderId="19" xfId="0" applyBorder="1">
      <alignment readingOrder="1"/>
    </xf>
    <xf numFmtId="0" fontId="0" fillId="0" borderId="20" xfId="0" applyBorder="1">
      <alignment readingOrder="1"/>
    </xf>
    <xf numFmtId="0" fontId="0" fillId="0" borderId="21" xfId="0" applyBorder="1">
      <alignment readingOrder="1"/>
    </xf>
    <xf numFmtId="164" fontId="0" fillId="0" borderId="0" xfId="0" applyNumberFormat="1" applyBorder="1">
      <alignment readingOrder="1"/>
    </xf>
    <xf numFmtId="2" fontId="0" fillId="0" borderId="12" xfId="0" applyNumberFormat="1" applyBorder="1" applyAlignment="1">
      <alignment horizontal="center" readingOrder="1"/>
    </xf>
    <xf numFmtId="164" fontId="0" fillId="0" borderId="0" xfId="0" applyNumberFormat="1" applyBorder="1" applyAlignment="1">
      <alignment horizontal="center" readingOrder="1"/>
    </xf>
    <xf numFmtId="9" fontId="0" fillId="9" borderId="18" xfId="0" applyNumberFormat="1" applyFill="1" applyBorder="1">
      <alignment readingOrder="1"/>
    </xf>
    <xf numFmtId="9" fontId="0" fillId="9" borderId="0" xfId="0" applyNumberFormat="1" applyFill="1" applyBorder="1">
      <alignment readingOrder="1"/>
    </xf>
    <xf numFmtId="0" fontId="0" fillId="0" borderId="0" xfId="0" applyFill="1" applyBorder="1">
      <alignment readingOrder="1"/>
    </xf>
    <xf numFmtId="1" fontId="0" fillId="0" borderId="0" xfId="0" applyNumberFormat="1" applyBorder="1">
      <alignment readingOrder="1"/>
    </xf>
    <xf numFmtId="0" fontId="0" fillId="0" borderId="12" xfId="0" applyBorder="1">
      <alignment readingOrder="1"/>
    </xf>
    <xf numFmtId="9" fontId="0" fillId="0" borderId="18" xfId="0" applyNumberFormat="1" applyBorder="1">
      <alignment readingOrder="1"/>
    </xf>
    <xf numFmtId="9" fontId="0" fillId="0" borderId="18" xfId="0" applyNumberFormat="1" applyFill="1" applyBorder="1">
      <alignment readingOrder="1"/>
    </xf>
    <xf numFmtId="0" fontId="0" fillId="0" borderId="14" xfId="0" applyBorder="1">
      <alignment readingOrder="1"/>
    </xf>
    <xf numFmtId="9" fontId="0" fillId="0" borderId="15" xfId="0" applyNumberFormat="1" applyBorder="1">
      <alignment readingOrder="1"/>
    </xf>
    <xf numFmtId="9" fontId="0" fillId="0" borderId="16" xfId="0" applyNumberFormat="1" applyBorder="1">
      <alignment readingOrder="1"/>
    </xf>
    <xf numFmtId="1" fontId="0" fillId="0" borderId="0" xfId="0" applyNumberFormat="1">
      <alignment readingOrder="1"/>
    </xf>
    <xf numFmtId="9" fontId="0" fillId="0" borderId="0" xfId="0" applyNumberFormat="1">
      <alignment readingOrder="1"/>
    </xf>
    <xf numFmtId="164" fontId="0" fillId="0" borderId="4" xfId="0" applyNumberFormat="1" applyBorder="1" applyAlignment="1">
      <alignment horizontal="center" readingOrder="1"/>
    </xf>
    <xf numFmtId="1" fontId="0" fillId="0" borderId="0" xfId="0" applyNumberFormat="1" applyBorder="1" applyAlignment="1">
      <alignment horizontal="center" readingOrder="1"/>
    </xf>
    <xf numFmtId="2" fontId="0" fillId="0" borderId="0" xfId="0" applyNumberFormat="1">
      <alignment readingOrder="1"/>
    </xf>
    <xf numFmtId="0" fontId="5" fillId="18" borderId="4" xfId="13" applyFont="1" applyFill="1" applyBorder="1" applyAlignment="1">
      <alignment wrapText="1"/>
    </xf>
    <xf numFmtId="0" fontId="0" fillId="18" borderId="0" xfId="0" applyFill="1">
      <alignment readingOrder="1"/>
    </xf>
    <xf numFmtId="0" fontId="0" fillId="18" borderId="0" xfId="0" applyFill="1" applyAlignment="1">
      <alignment wrapText="1" readingOrder="1"/>
    </xf>
    <xf numFmtId="0" fontId="0" fillId="18" borderId="0" xfId="0" applyFill="1" applyBorder="1" applyAlignment="1">
      <alignment horizontal="center" vertical="center" wrapText="1" readingOrder="1"/>
    </xf>
    <xf numFmtId="0" fontId="5" fillId="18" borderId="0" xfId="13" applyFont="1" applyFill="1" applyBorder="1" applyAlignment="1">
      <alignment wrapText="1"/>
    </xf>
    <xf numFmtId="0" fontId="0" fillId="18" borderId="0" xfId="0" applyFill="1"/>
    <xf numFmtId="168" fontId="5" fillId="0" borderId="0" xfId="5" applyNumberFormat="1" applyFill="1" applyBorder="1">
      <alignment readingOrder="1"/>
    </xf>
    <xf numFmtId="0" fontId="5" fillId="19" borderId="0" xfId="5" applyFill="1" applyAlignment="1">
      <alignment wrapText="1" readingOrder="1"/>
    </xf>
    <xf numFmtId="0" fontId="0" fillId="0" borderId="0" xfId="0" applyAlignment="1">
      <alignment horizontal="left" vertical="center" wrapText="1"/>
    </xf>
    <xf numFmtId="0" fontId="0" fillId="0" borderId="0" xfId="0" applyAlignment="1">
      <alignment horizontal="left" vertical="center"/>
    </xf>
    <xf numFmtId="0" fontId="4" fillId="18" borderId="3" xfId="0" applyFont="1" applyFill="1" applyBorder="1"/>
    <xf numFmtId="0" fontId="6" fillId="18" borderId="4" xfId="4" applyFont="1" applyFill="1" applyBorder="1" applyAlignment="1">
      <alignment horizontal="left" vertical="center" wrapText="1"/>
    </xf>
    <xf numFmtId="0" fontId="6" fillId="18" borderId="5" xfId="4" applyFont="1" applyFill="1" applyBorder="1" applyAlignment="1">
      <alignment horizontal="left" vertical="center" wrapText="1"/>
    </xf>
    <xf numFmtId="0" fontId="4" fillId="18" borderId="1" xfId="0" applyFont="1" applyFill="1" applyBorder="1"/>
    <xf numFmtId="1" fontId="0" fillId="0" borderId="0" xfId="0" applyNumberFormat="1"/>
    <xf numFmtId="9" fontId="0" fillId="0" borderId="0" xfId="0" applyNumberFormat="1"/>
    <xf numFmtId="0" fontId="23" fillId="18" borderId="0" xfId="0" applyFont="1" applyFill="1" applyAlignment="1">
      <alignment horizontal="center"/>
    </xf>
    <xf numFmtId="0" fontId="23" fillId="0" borderId="5" xfId="0" applyFont="1" applyBorder="1" applyAlignment="1">
      <alignment horizontal="center"/>
    </xf>
    <xf numFmtId="0" fontId="0" fillId="0" borderId="5" xfId="0" applyBorder="1"/>
    <xf numFmtId="0" fontId="0" fillId="0" borderId="5" xfId="0" applyBorder="1" applyAlignment="1">
      <alignment horizontal="center"/>
    </xf>
    <xf numFmtId="3" fontId="0" fillId="0" borderId="5" xfId="0" applyNumberFormat="1" applyBorder="1" applyAlignment="1">
      <alignment horizontal="center"/>
    </xf>
    <xf numFmtId="1" fontId="0" fillId="0" borderId="5" xfId="0" applyNumberFormat="1" applyBorder="1" applyAlignment="1">
      <alignment horizontal="center"/>
    </xf>
    <xf numFmtId="9" fontId="0" fillId="0" borderId="0" xfId="0" applyNumberFormat="1" applyFont="1"/>
    <xf numFmtId="0" fontId="0" fillId="20" borderId="0" xfId="0" applyFill="1"/>
    <xf numFmtId="1" fontId="0" fillId="20" borderId="0" xfId="0" applyNumberFormat="1" applyFill="1"/>
    <xf numFmtId="0" fontId="0" fillId="0" borderId="0" xfId="0" applyAlignment="1">
      <alignment horizontal="center" vertical="center"/>
    </xf>
    <xf numFmtId="168" fontId="0" fillId="0" borderId="0" xfId="0" applyNumberFormat="1" applyFill="1"/>
    <xf numFmtId="168" fontId="0" fillId="0" borderId="0" xfId="0" applyNumberFormat="1"/>
    <xf numFmtId="168" fontId="0" fillId="20" borderId="0" xfId="0" applyNumberFormat="1" applyFill="1"/>
    <xf numFmtId="168" fontId="0" fillId="0" borderId="0" xfId="1" applyNumberFormat="1" applyFont="1"/>
    <xf numFmtId="168" fontId="0" fillId="21" borderId="0" xfId="0" applyNumberFormat="1" applyFill="1"/>
    <xf numFmtId="0" fontId="0" fillId="21" borderId="0" xfId="0" applyFill="1"/>
    <xf numFmtId="0" fontId="2" fillId="18" borderId="0" xfId="0" applyFont="1" applyFill="1"/>
    <xf numFmtId="0" fontId="2" fillId="18" borderId="0" xfId="0" applyFont="1" applyFill="1">
      <alignment readingOrder="1"/>
    </xf>
    <xf numFmtId="0" fontId="2" fillId="18" borderId="5" xfId="0" applyFont="1" applyFill="1" applyBorder="1"/>
    <xf numFmtId="0" fontId="2" fillId="18" borderId="5" xfId="0" applyFont="1" applyFill="1" applyBorder="1" applyAlignment="1">
      <alignment wrapText="1"/>
    </xf>
    <xf numFmtId="0" fontId="2" fillId="21" borderId="5" xfId="0" applyFont="1" applyFill="1" applyBorder="1" applyAlignment="1">
      <alignment wrapText="1"/>
    </xf>
    <xf numFmtId="0" fontId="0" fillId="0" borderId="5" xfId="0" applyFill="1" applyBorder="1"/>
    <xf numFmtId="168" fontId="2" fillId="18" borderId="0" xfId="0" applyNumberFormat="1" applyFont="1" applyFill="1"/>
    <xf numFmtId="0" fontId="27" fillId="0" borderId="5" xfId="20" applyFont="1" applyBorder="1"/>
    <xf numFmtId="0" fontId="27" fillId="0" borderId="5" xfId="20" applyFont="1" applyBorder="1" applyAlignment="1">
      <alignment wrapText="1"/>
    </xf>
    <xf numFmtId="0" fontId="28" fillId="0" borderId="5" xfId="20" applyFont="1" applyBorder="1" applyAlignment="1">
      <alignment wrapText="1"/>
    </xf>
    <xf numFmtId="0" fontId="28" fillId="0" borderId="5" xfId="20" applyFont="1" applyBorder="1"/>
    <xf numFmtId="169" fontId="29" fillId="0" borderId="5" xfId="10" applyNumberFormat="1" applyFont="1" applyBorder="1"/>
    <xf numFmtId="169" fontId="27" fillId="0" borderId="5" xfId="10" applyNumberFormat="1" applyFont="1" applyBorder="1"/>
    <xf numFmtId="169" fontId="28" fillId="0" borderId="5" xfId="10" applyNumberFormat="1" applyFont="1" applyBorder="1"/>
    <xf numFmtId="44" fontId="28" fillId="0" borderId="5" xfId="10" applyFont="1" applyBorder="1"/>
    <xf numFmtId="169" fontId="27" fillId="0" borderId="5" xfId="20" applyNumberFormat="1" applyFont="1" applyBorder="1"/>
    <xf numFmtId="44" fontId="29" fillId="0" borderId="5" xfId="10" applyFont="1" applyBorder="1"/>
    <xf numFmtId="169" fontId="30" fillId="0" borderId="5" xfId="10" applyNumberFormat="1" applyFont="1" applyBorder="1"/>
    <xf numFmtId="43" fontId="29" fillId="0" borderId="5" xfId="9" applyFont="1" applyBorder="1"/>
    <xf numFmtId="43" fontId="27" fillId="0" borderId="5" xfId="20" applyNumberFormat="1" applyFont="1" applyBorder="1"/>
    <xf numFmtId="44" fontId="27" fillId="0" borderId="5" xfId="20" applyNumberFormat="1" applyFont="1" applyBorder="1"/>
    <xf numFmtId="176" fontId="5" fillId="0" borderId="0" xfId="2" applyNumberFormat="1" applyFont="1">
      <alignment readingOrder="1"/>
    </xf>
    <xf numFmtId="164" fontId="0" fillId="0" borderId="0" xfId="0" applyNumberFormat="1"/>
    <xf numFmtId="9" fontId="5" fillId="0" borderId="0" xfId="3" applyFont="1">
      <alignment readingOrder="1"/>
    </xf>
    <xf numFmtId="0" fontId="5" fillId="19" borderId="0" xfId="5" applyFill="1">
      <alignment readingOrder="1"/>
    </xf>
    <xf numFmtId="168" fontId="5" fillId="19" borderId="0" xfId="5" applyNumberFormat="1" applyFill="1">
      <alignment readingOrder="1"/>
    </xf>
    <xf numFmtId="169" fontId="5" fillId="19" borderId="0" xfId="5" applyNumberFormat="1" applyFill="1">
      <alignment readingOrder="1"/>
    </xf>
    <xf numFmtId="44" fontId="5" fillId="19" borderId="0" xfId="5" applyNumberFormat="1" applyFill="1">
      <alignment readingOrder="1"/>
    </xf>
    <xf numFmtId="9" fontId="5" fillId="19" borderId="0" xfId="5" applyNumberFormat="1" applyFill="1">
      <alignment readingOrder="1"/>
    </xf>
    <xf numFmtId="171" fontId="5" fillId="19" borderId="0" xfId="5" applyNumberFormat="1" applyFill="1">
      <alignment readingOrder="1"/>
    </xf>
    <xf numFmtId="169" fontId="0" fillId="19" borderId="0" xfId="10" applyNumberFormat="1" applyFont="1" applyFill="1">
      <alignment readingOrder="1"/>
    </xf>
    <xf numFmtId="170" fontId="5" fillId="19" borderId="0" xfId="5" applyNumberFormat="1" applyFill="1">
      <alignment readingOrder="1"/>
    </xf>
    <xf numFmtId="44" fontId="0" fillId="19" borderId="0" xfId="10" applyFont="1" applyFill="1">
      <alignment readingOrder="1"/>
    </xf>
    <xf numFmtId="9" fontId="0" fillId="19" borderId="0" xfId="11" applyFont="1" applyFill="1">
      <alignment readingOrder="1"/>
    </xf>
    <xf numFmtId="168" fontId="5" fillId="19" borderId="0" xfId="1" applyNumberFormat="1" applyFont="1" applyFill="1">
      <alignment readingOrder="1"/>
    </xf>
    <xf numFmtId="1" fontId="5" fillId="19" borderId="0" xfId="5" applyNumberFormat="1" applyFill="1">
      <alignment readingOrder="1"/>
    </xf>
    <xf numFmtId="176" fontId="0" fillId="0" borderId="0" xfId="10" applyNumberFormat="1" applyFont="1">
      <alignment readingOrder="1"/>
    </xf>
    <xf numFmtId="176" fontId="0" fillId="19" borderId="0" xfId="10" applyNumberFormat="1" applyFont="1" applyFill="1">
      <alignment readingOrder="1"/>
    </xf>
    <xf numFmtId="0" fontId="5" fillId="9" borderId="12" xfId="5" applyFont="1" applyFill="1" applyBorder="1" applyAlignment="1">
      <alignment wrapText="1" readingOrder="1"/>
    </xf>
    <xf numFmtId="9" fontId="5" fillId="19" borderId="0" xfId="3" applyFont="1" applyFill="1">
      <alignment readingOrder="1"/>
    </xf>
    <xf numFmtId="0" fontId="0" fillId="0" borderId="0" xfId="0" applyFill="1">
      <alignment readingOrder="1"/>
    </xf>
    <xf numFmtId="0" fontId="0" fillId="0" borderId="0" xfId="0" applyFill="1" applyAlignment="1">
      <alignment vertical="center" wrapText="1" readingOrder="1"/>
    </xf>
    <xf numFmtId="168" fontId="0" fillId="0" borderId="0" xfId="0" applyNumberFormat="1">
      <alignment readingOrder="1"/>
    </xf>
    <xf numFmtId="9" fontId="0" fillId="0" borderId="0" xfId="11" applyFont="1" applyAlignment="1">
      <alignment horizontal="center" readingOrder="1"/>
    </xf>
    <xf numFmtId="172" fontId="0" fillId="0" borderId="0" xfId="0" applyNumberFormat="1">
      <alignment readingOrder="1"/>
    </xf>
    <xf numFmtId="0" fontId="0" fillId="0" borderId="0" xfId="0" applyAlignment="1">
      <alignment horizontal="center" readingOrder="1"/>
    </xf>
    <xf numFmtId="178" fontId="0" fillId="0" borderId="0" xfId="0" applyNumberFormat="1">
      <alignment readingOrder="1"/>
    </xf>
    <xf numFmtId="0" fontId="15" fillId="50" borderId="7" xfId="0" applyFont="1" applyFill="1" applyBorder="1">
      <alignment readingOrder="1"/>
    </xf>
    <xf numFmtId="0" fontId="0" fillId="50" borderId="12" xfId="0" applyFill="1" applyBorder="1">
      <alignment readingOrder="1"/>
    </xf>
    <xf numFmtId="0" fontId="15" fillId="50" borderId="12" xfId="0" applyFont="1" applyFill="1" applyBorder="1">
      <alignment readingOrder="1"/>
    </xf>
    <xf numFmtId="49" fontId="0" fillId="50" borderId="11" xfId="0" quotePrefix="1" applyNumberFormat="1" applyFill="1" applyBorder="1">
      <alignment readingOrder="1"/>
    </xf>
    <xf numFmtId="0" fontId="0" fillId="50" borderId="10" xfId="0" applyNumberFormat="1" applyFill="1" applyBorder="1" applyAlignment="1">
      <alignment vertical="center" wrapText="1" readingOrder="1"/>
    </xf>
    <xf numFmtId="0" fontId="0" fillId="50" borderId="8" xfId="0" applyNumberFormat="1" applyFill="1" applyBorder="1" applyAlignment="1">
      <alignment vertical="center" wrapText="1" readingOrder="1"/>
    </xf>
    <xf numFmtId="0" fontId="0" fillId="50" borderId="13" xfId="0" applyNumberFormat="1" applyFill="1" applyBorder="1" applyAlignment="1">
      <alignment vertical="center" wrapText="1" readingOrder="1"/>
    </xf>
    <xf numFmtId="0" fontId="0" fillId="50" borderId="39" xfId="0" applyNumberFormat="1" applyFill="1" applyBorder="1" applyAlignment="1">
      <alignment vertical="center" wrapText="1" readingOrder="1"/>
    </xf>
    <xf numFmtId="0" fontId="0" fillId="49" borderId="0" xfId="0" applyFill="1">
      <alignment readingOrder="1"/>
    </xf>
    <xf numFmtId="0" fontId="53" fillId="51" borderId="0" xfId="0" applyFont="1" applyFill="1">
      <alignment readingOrder="1"/>
    </xf>
    <xf numFmtId="1" fontId="0" fillId="0" borderId="0" xfId="0" quotePrefix="1" applyNumberFormat="1">
      <alignment readingOrder="1"/>
    </xf>
    <xf numFmtId="0" fontId="0" fillId="49" borderId="0" xfId="0" applyFill="1" applyAlignment="1">
      <alignment vertical="center" wrapText="1" readingOrder="1"/>
    </xf>
    <xf numFmtId="0" fontId="0" fillId="0" borderId="0" xfId="0" quotePrefix="1">
      <alignment readingOrder="1"/>
    </xf>
    <xf numFmtId="1" fontId="0" fillId="0" borderId="0" xfId="0" applyNumberFormat="1" applyFill="1">
      <alignment readingOrder="1"/>
    </xf>
    <xf numFmtId="179" fontId="0" fillId="0" borderId="0" xfId="0" applyNumberFormat="1">
      <alignment readingOrder="1"/>
    </xf>
    <xf numFmtId="168" fontId="0" fillId="0" borderId="0" xfId="1" applyNumberFormat="1" applyFont="1" applyFill="1">
      <alignment readingOrder="1"/>
    </xf>
    <xf numFmtId="168" fontId="0" fillId="0" borderId="0" xfId="1" applyNumberFormat="1" applyFont="1">
      <alignment readingOrder="1"/>
    </xf>
    <xf numFmtId="0" fontId="0" fillId="49" borderId="0" xfId="0" applyFill="1"/>
    <xf numFmtId="0" fontId="0" fillId="0" borderId="0" xfId="0" applyFill="1"/>
    <xf numFmtId="9" fontId="5" fillId="0" borderId="0" xfId="5" applyNumberFormat="1" applyFill="1">
      <alignment readingOrder="1"/>
    </xf>
    <xf numFmtId="168" fontId="1" fillId="52" borderId="0" xfId="1" applyNumberFormat="1" applyFont="1" applyFill="1">
      <alignment readingOrder="1"/>
    </xf>
    <xf numFmtId="0" fontId="0" fillId="49" borderId="0" xfId="0" applyFill="1" applyAlignment="1">
      <alignment horizontal="right" readingOrder="1"/>
    </xf>
    <xf numFmtId="0" fontId="0" fillId="49" borderId="0" xfId="0" applyFill="1" applyAlignment="1">
      <alignment horizontal="center" readingOrder="1"/>
    </xf>
    <xf numFmtId="0" fontId="0" fillId="52" borderId="0" xfId="0" applyFill="1">
      <alignment readingOrder="1"/>
    </xf>
    <xf numFmtId="9" fontId="5" fillId="22" borderId="5" xfId="5" applyNumberFormat="1" applyFill="1" applyBorder="1">
      <alignment readingOrder="1"/>
    </xf>
    <xf numFmtId="9" fontId="0" fillId="0" borderId="0" xfId="3" applyFont="1"/>
    <xf numFmtId="0" fontId="5" fillId="18" borderId="0" xfId="5" applyFill="1" applyAlignment="1">
      <alignment vertical="center"/>
    </xf>
    <xf numFmtId="0" fontId="5" fillId="18" borderId="0" xfId="5" applyFill="1">
      <alignment readingOrder="1"/>
    </xf>
    <xf numFmtId="0" fontId="27" fillId="18" borderId="5" xfId="20" applyFont="1" applyFill="1" applyBorder="1"/>
    <xf numFmtId="0" fontId="27" fillId="18" borderId="5" xfId="20" applyFont="1" applyFill="1" applyBorder="1" applyAlignment="1">
      <alignment wrapText="1"/>
    </xf>
    <xf numFmtId="43" fontId="27" fillId="18" borderId="5" xfId="20" applyNumberFormat="1" applyFont="1" applyFill="1" applyBorder="1"/>
    <xf numFmtId="0" fontId="15" fillId="49" borderId="0" xfId="190" applyFont="1" applyFill="1"/>
    <xf numFmtId="0" fontId="5" fillId="0" borderId="0" xfId="190" applyFont="1"/>
    <xf numFmtId="0" fontId="0" fillId="0" borderId="0" xfId="0" applyFont="1"/>
    <xf numFmtId="0" fontId="5" fillId="18" borderId="0" xfId="190" applyFont="1" applyFill="1" applyAlignment="1">
      <alignment horizontal="center"/>
    </xf>
    <xf numFmtId="0" fontId="54" fillId="0" borderId="0" xfId="0" applyFont="1"/>
    <xf numFmtId="15" fontId="54" fillId="0" borderId="0" xfId="0" applyNumberFormat="1" applyFont="1" applyAlignment="1">
      <alignment horizontal="center" vertical="center"/>
    </xf>
    <xf numFmtId="15" fontId="54" fillId="0" borderId="0" xfId="190" applyNumberFormat="1" applyFont="1" applyAlignment="1">
      <alignment horizontal="center" vertical="center"/>
    </xf>
    <xf numFmtId="44" fontId="0" fillId="0" borderId="0" xfId="10" applyFont="1" applyFill="1">
      <alignment readingOrder="1"/>
    </xf>
    <xf numFmtId="0" fontId="0" fillId="0" borderId="6" xfId="0" applyBorder="1"/>
    <xf numFmtId="0" fontId="0" fillId="0" borderId="36" xfId="0" applyBorder="1"/>
    <xf numFmtId="0" fontId="0" fillId="0" borderId="37" xfId="0" applyBorder="1"/>
    <xf numFmtId="0" fontId="0" fillId="0" borderId="22" xfId="0" applyBorder="1"/>
    <xf numFmtId="0" fontId="0" fillId="0" borderId="0" xfId="0" applyBorder="1"/>
    <xf numFmtId="0" fontId="0" fillId="0" borderId="38" xfId="0" applyBorder="1"/>
    <xf numFmtId="9" fontId="0" fillId="0" borderId="0" xfId="0" applyNumberFormat="1" applyBorder="1"/>
    <xf numFmtId="9" fontId="0" fillId="0" borderId="38" xfId="0" applyNumberFormat="1" applyBorder="1"/>
    <xf numFmtId="0" fontId="0" fillId="0" borderId="11" xfId="0" applyBorder="1"/>
    <xf numFmtId="10" fontId="0" fillId="0" borderId="13" xfId="0" applyNumberFormat="1" applyBorder="1"/>
    <xf numFmtId="10" fontId="0" fillId="0" borderId="39" xfId="0" applyNumberFormat="1" applyBorder="1"/>
    <xf numFmtId="168" fontId="0" fillId="0" borderId="0" xfId="0" applyNumberFormat="1" applyAlignment="1">
      <alignment wrapText="1" readingOrder="1"/>
    </xf>
    <xf numFmtId="10" fontId="0" fillId="0" borderId="0" xfId="0" applyNumberFormat="1" applyBorder="1"/>
    <xf numFmtId="0" fontId="0" fillId="49" borderId="6" xfId="0" applyFill="1" applyBorder="1"/>
    <xf numFmtId="0" fontId="0" fillId="49" borderId="36" xfId="0" applyFill="1" applyBorder="1"/>
    <xf numFmtId="0" fontId="19" fillId="49" borderId="36" xfId="12" applyFill="1" applyBorder="1" applyAlignment="1" applyProtection="1"/>
    <xf numFmtId="0" fontId="0" fillId="49" borderId="22" xfId="0" applyFill="1" applyBorder="1"/>
    <xf numFmtId="0" fontId="0" fillId="49" borderId="0" xfId="0" applyFill="1" applyBorder="1"/>
    <xf numFmtId="0" fontId="0" fillId="49" borderId="22" xfId="0" applyFill="1" applyBorder="1" applyAlignment="1">
      <alignment horizontal="left"/>
    </xf>
    <xf numFmtId="44" fontId="0" fillId="0" borderId="0" xfId="0" applyNumberFormat="1" applyBorder="1"/>
    <xf numFmtId="0" fontId="0" fillId="49" borderId="11" xfId="0" applyFill="1" applyBorder="1" applyAlignment="1">
      <alignment horizontal="left"/>
    </xf>
    <xf numFmtId="44" fontId="0" fillId="0" borderId="13" xfId="0" applyNumberFormat="1" applyBorder="1"/>
    <xf numFmtId="0" fontId="0" fillId="0" borderId="13" xfId="0" applyBorder="1"/>
    <xf numFmtId="0" fontId="0" fillId="0" borderId="39" xfId="0" applyBorder="1"/>
    <xf numFmtId="169" fontId="0" fillId="0" borderId="5" xfId="2" applyNumberFormat="1" applyFont="1" applyBorder="1"/>
    <xf numFmtId="0" fontId="0" fillId="49" borderId="5" xfId="0" applyFill="1" applyBorder="1"/>
    <xf numFmtId="0" fontId="19" fillId="0" borderId="0" xfId="12" applyAlignment="1" applyProtection="1"/>
    <xf numFmtId="0" fontId="27" fillId="49" borderId="5" xfId="20" applyFont="1" applyFill="1" applyBorder="1"/>
    <xf numFmtId="168" fontId="1" fillId="52" borderId="0" xfId="1" applyNumberFormat="1" applyFont="1" applyFill="1" applyAlignment="1">
      <alignment horizontal="center" vertical="center" readingOrder="1"/>
    </xf>
    <xf numFmtId="9" fontId="5" fillId="0" borderId="0" xfId="11" applyFill="1" applyAlignment="1">
      <alignment horizontal="center" readingOrder="1"/>
    </xf>
    <xf numFmtId="170" fontId="5" fillId="52" borderId="0" xfId="1" applyNumberFormat="1" applyFont="1" applyFill="1" applyAlignment="1">
      <alignment horizontal="center" readingOrder="1"/>
    </xf>
    <xf numFmtId="9" fontId="0" fillId="0" borderId="7" xfId="0" applyNumberFormat="1" applyBorder="1" applyAlignment="1">
      <alignment horizontal="center" vertical="center"/>
    </xf>
    <xf numFmtId="9" fontId="0" fillId="0" borderId="12" xfId="0" applyNumberFormat="1" applyBorder="1" applyAlignment="1">
      <alignment horizontal="center" vertical="center"/>
    </xf>
    <xf numFmtId="9" fontId="0" fillId="0" borderId="4" xfId="0" applyNumberFormat="1" applyBorder="1" applyAlignment="1">
      <alignment horizontal="center" vertical="center"/>
    </xf>
    <xf numFmtId="9" fontId="0" fillId="0" borderId="0" xfId="0" applyNumberFormat="1" applyBorder="1" applyAlignment="1">
      <alignment horizontal="center" vertical="center"/>
    </xf>
    <xf numFmtId="0" fontId="0" fillId="0" borderId="0" xfId="0" applyBorder="1" applyAlignment="1">
      <alignment horizontal="center" vertical="center"/>
    </xf>
    <xf numFmtId="168" fontId="0" fillId="0" borderId="6" xfId="1" applyNumberFormat="1" applyFont="1" applyBorder="1" applyAlignment="1">
      <alignment horizontal="center" vertical="center"/>
    </xf>
    <xf numFmtId="168" fontId="0" fillId="0" borderId="22" xfId="1" applyNumberFormat="1" applyFont="1" applyBorder="1" applyAlignment="1">
      <alignment horizontal="center" vertical="center"/>
    </xf>
    <xf numFmtId="168" fontId="0" fillId="0" borderId="11" xfId="1" applyNumberFormat="1" applyFont="1" applyBorder="1" applyAlignment="1">
      <alignment horizontal="center" vertical="center"/>
    </xf>
    <xf numFmtId="0" fontId="23" fillId="18" borderId="0" xfId="0" applyFont="1" applyFill="1" applyAlignment="1">
      <alignment horizontal="center" wrapText="1"/>
    </xf>
    <xf numFmtId="168" fontId="0" fillId="53" borderId="9" xfId="0" applyNumberFormat="1" applyFill="1" applyBorder="1"/>
    <xf numFmtId="0" fontId="0" fillId="53" borderId="8" xfId="0" applyFill="1" applyBorder="1"/>
    <xf numFmtId="0" fontId="2" fillId="18" borderId="0" xfId="0" applyFont="1" applyFill="1" applyAlignment="1">
      <alignment wrapText="1"/>
    </xf>
    <xf numFmtId="15" fontId="54" fillId="0" borderId="0" xfId="190" applyNumberFormat="1" applyFont="1" applyFill="1" applyAlignment="1">
      <alignment horizontal="center" vertical="center"/>
    </xf>
    <xf numFmtId="164" fontId="0" fillId="0" borderId="0" xfId="0" applyNumberFormat="1" applyFill="1">
      <alignment readingOrder="1"/>
    </xf>
    <xf numFmtId="0" fontId="23" fillId="54" borderId="9" xfId="0" applyFont="1" applyFill="1" applyBorder="1"/>
    <xf numFmtId="0" fontId="23" fillId="54" borderId="8" xfId="0" applyFont="1" applyFill="1" applyBorder="1"/>
    <xf numFmtId="0" fontId="0" fillId="6" borderId="0" xfId="0" applyFill="1">
      <alignment readingOrder="1"/>
    </xf>
    <xf numFmtId="168" fontId="0" fillId="6" borderId="0" xfId="0" applyNumberFormat="1" applyFill="1">
      <alignment readingOrder="1"/>
    </xf>
    <xf numFmtId="168" fontId="0" fillId="6" borderId="0" xfId="1" applyNumberFormat="1" applyFont="1" applyFill="1">
      <alignment readingOrder="1"/>
    </xf>
    <xf numFmtId="0" fontId="5" fillId="50" borderId="0" xfId="5" applyFill="1">
      <alignment readingOrder="1"/>
    </xf>
    <xf numFmtId="169" fontId="0" fillId="0" borderId="0" xfId="0" applyNumberFormat="1"/>
    <xf numFmtId="0" fontId="5" fillId="49" borderId="5" xfId="5" applyFill="1" applyBorder="1" applyAlignment="1">
      <alignment wrapText="1" readingOrder="1"/>
    </xf>
    <xf numFmtId="0" fontId="18" fillId="49" borderId="12" xfId="5" applyFont="1" applyFill="1" applyBorder="1" applyAlignment="1">
      <alignment wrapText="1" readingOrder="1"/>
    </xf>
    <xf numFmtId="0" fontId="5" fillId="49" borderId="12" xfId="5" applyFont="1" applyFill="1" applyBorder="1" applyAlignment="1">
      <alignment wrapText="1" readingOrder="1"/>
    </xf>
    <xf numFmtId="0" fontId="5" fillId="49" borderId="0" xfId="5" applyFill="1">
      <alignment readingOrder="1"/>
    </xf>
    <xf numFmtId="0" fontId="55" fillId="55" borderId="40" xfId="0" applyFont="1" applyFill="1" applyBorder="1" applyAlignment="1">
      <alignment horizontal="center" vertical="top" wrapText="1"/>
    </xf>
    <xf numFmtId="0" fontId="55" fillId="55" borderId="41" xfId="0" applyFont="1" applyFill="1" applyBorder="1" applyAlignment="1">
      <alignment horizontal="center" vertical="top" wrapText="1"/>
    </xf>
    <xf numFmtId="0" fontId="55" fillId="55" borderId="15" xfId="0" applyFont="1" applyFill="1" applyBorder="1" applyAlignment="1">
      <alignment horizontal="center" vertical="top" wrapText="1"/>
    </xf>
    <xf numFmtId="0" fontId="55" fillId="0" borderId="40" xfId="0" applyFont="1" applyBorder="1" applyAlignment="1">
      <alignment horizontal="center" vertical="top" wrapText="1"/>
    </xf>
    <xf numFmtId="0" fontId="55" fillId="56" borderId="15" xfId="0" applyFont="1" applyFill="1" applyBorder="1" applyAlignment="1">
      <alignment horizontal="center" vertical="top" wrapText="1"/>
    </xf>
    <xf numFmtId="0" fontId="55" fillId="0" borderId="41" xfId="0" applyFont="1" applyBorder="1" applyAlignment="1">
      <alignment horizontal="center" vertical="top" wrapText="1"/>
    </xf>
    <xf numFmtId="0" fontId="55" fillId="57" borderId="15" xfId="0" applyFont="1" applyFill="1" applyBorder="1" applyAlignment="1">
      <alignment horizontal="center" vertical="top" wrapText="1"/>
    </xf>
    <xf numFmtId="9" fontId="5" fillId="50" borderId="0" xfId="5" applyNumberFormat="1" applyFill="1">
      <alignment readingOrder="1"/>
    </xf>
    <xf numFmtId="0" fontId="5" fillId="19" borderId="0" xfId="5" applyFill="1" applyAlignment="1">
      <alignment horizontal="center" wrapText="1" readingOrder="1"/>
    </xf>
    <xf numFmtId="2" fontId="5" fillId="50" borderId="0" xfId="5" applyNumberFormat="1" applyFill="1">
      <alignment readingOrder="1"/>
    </xf>
    <xf numFmtId="1" fontId="5" fillId="0" borderId="0" xfId="5" applyNumberFormat="1" applyFill="1">
      <alignment readingOrder="1"/>
    </xf>
    <xf numFmtId="0" fontId="5" fillId="58" borderId="0" xfId="5" applyFill="1" applyAlignment="1">
      <alignment wrapText="1" readingOrder="1"/>
    </xf>
    <xf numFmtId="15" fontId="56" fillId="0" borderId="0" xfId="190" applyNumberFormat="1" applyFont="1" applyAlignment="1">
      <alignment horizontal="center" vertical="center"/>
    </xf>
    <xf numFmtId="15" fontId="57" fillId="0" borderId="0" xfId="190" applyNumberFormat="1" applyFont="1" applyAlignment="1">
      <alignment horizontal="center" vertical="center"/>
    </xf>
    <xf numFmtId="0" fontId="57" fillId="0" borderId="0" xfId="0" applyFont="1"/>
    <xf numFmtId="0" fontId="0" fillId="49" borderId="37" xfId="0" applyFill="1" applyBorder="1"/>
    <xf numFmtId="0" fontId="0" fillId="49" borderId="38" xfId="0" applyFill="1" applyBorder="1"/>
    <xf numFmtId="169" fontId="0" fillId="0" borderId="0" xfId="0" applyNumberFormat="1" applyBorder="1"/>
    <xf numFmtId="169" fontId="0" fillId="0" borderId="38" xfId="0" applyNumberFormat="1" applyBorder="1"/>
    <xf numFmtId="169" fontId="0" fillId="0" borderId="13" xfId="0" applyNumberFormat="1" applyBorder="1"/>
    <xf numFmtId="169" fontId="0" fillId="0" borderId="39" xfId="0" applyNumberFormat="1" applyBorder="1"/>
    <xf numFmtId="0" fontId="31" fillId="23" borderId="9" xfId="0" applyFont="1" applyFill="1" applyBorder="1" applyAlignment="1">
      <alignment horizontal="left" wrapText="1" readingOrder="1"/>
    </xf>
    <xf numFmtId="0" fontId="31" fillId="23" borderId="8" xfId="0" applyFont="1" applyFill="1" applyBorder="1" applyAlignment="1">
      <alignment horizontal="center" wrapText="1" readingOrder="1"/>
    </xf>
    <xf numFmtId="0" fontId="31" fillId="24" borderId="9" xfId="0" applyFont="1" applyFill="1" applyBorder="1" applyAlignment="1">
      <alignment horizontal="left" readingOrder="1"/>
    </xf>
    <xf numFmtId="0" fontId="31" fillId="24" borderId="10" xfId="0" applyFont="1" applyFill="1" applyBorder="1" applyAlignment="1">
      <alignment horizontal="center" wrapText="1" readingOrder="1"/>
    </xf>
    <xf numFmtId="0" fontId="31" fillId="24" borderId="8" xfId="0" applyFont="1" applyFill="1" applyBorder="1" applyAlignment="1">
      <alignment horizontal="center" wrapText="1" readingOrder="1"/>
    </xf>
    <xf numFmtId="0" fontId="0" fillId="0" borderId="16" xfId="0" applyBorder="1">
      <alignment readingOrder="1"/>
    </xf>
    <xf numFmtId="0" fontId="0" fillId="0" borderId="15" xfId="0" applyBorder="1">
      <alignment readingOrder="1"/>
    </xf>
    <xf numFmtId="0" fontId="14" fillId="17" borderId="1" xfId="0" applyFont="1" applyFill="1" applyBorder="1" applyAlignment="1">
      <alignment horizontal="centerContinuous" wrapText="1" readingOrder="1"/>
    </xf>
    <xf numFmtId="0" fontId="14" fillId="17" borderId="3" xfId="0" applyFont="1" applyFill="1" applyBorder="1" applyAlignment="1">
      <alignment horizontal="centerContinuous" wrapText="1" readingOrder="1"/>
    </xf>
    <xf numFmtId="164" fontId="14" fillId="17" borderId="1" xfId="0" applyNumberFormat="1" applyFont="1" applyFill="1" applyBorder="1" applyAlignment="1">
      <alignment horizontal="centerContinuous" wrapText="1" readingOrder="1"/>
    </xf>
    <xf numFmtId="164" fontId="14" fillId="17" borderId="2" xfId="0" applyNumberFormat="1" applyFont="1" applyFill="1" applyBorder="1" applyAlignment="1">
      <alignment horizontal="centerContinuous" wrapText="1" readingOrder="1"/>
    </xf>
    <xf numFmtId="164" fontId="14" fillId="17" borderId="3" xfId="0" applyNumberFormat="1" applyFont="1" applyFill="1" applyBorder="1" applyAlignment="1">
      <alignment horizontal="centerContinuous" wrapText="1" readingOrder="1"/>
    </xf>
    <xf numFmtId="164" fontId="14" fillId="17" borderId="10" xfId="0" applyNumberFormat="1" applyFont="1" applyFill="1" applyBorder="1" applyAlignment="1">
      <alignment horizontal="center" wrapText="1" readingOrder="1"/>
    </xf>
    <xf numFmtId="0" fontId="14" fillId="13" borderId="5" xfId="0" applyFont="1" applyFill="1" applyBorder="1" applyAlignment="1">
      <alignment horizontal="center" wrapText="1" readingOrder="1"/>
    </xf>
    <xf numFmtId="0" fontId="14" fillId="13" borderId="8" xfId="0" applyFont="1" applyFill="1" applyBorder="1" applyAlignment="1">
      <alignment horizontal="center" wrapText="1" readingOrder="1"/>
    </xf>
    <xf numFmtId="164" fontId="14" fillId="13" borderId="8" xfId="0" applyNumberFormat="1" applyFont="1" applyFill="1" applyBorder="1" applyAlignment="1">
      <alignment horizontal="center" wrapText="1" readingOrder="1"/>
    </xf>
    <xf numFmtId="174" fontId="14" fillId="13" borderId="8" xfId="0" applyNumberFormat="1" applyFont="1" applyFill="1" applyBorder="1" applyAlignment="1">
      <alignment horizontal="center" wrapText="1" readingOrder="1"/>
    </xf>
    <xf numFmtId="164" fontId="13" fillId="0" borderId="0" xfId="0" applyNumberFormat="1" applyFont="1">
      <alignment readingOrder="1"/>
    </xf>
    <xf numFmtId="164" fontId="20" fillId="0" borderId="0" xfId="0" applyNumberFormat="1" applyFont="1">
      <alignment readingOrder="1"/>
    </xf>
    <xf numFmtId="0" fontId="14" fillId="14" borderId="1" xfId="0" applyFont="1" applyFill="1" applyBorder="1" applyAlignment="1">
      <alignment horizontal="centerContinuous" wrapText="1" readingOrder="1"/>
    </xf>
    <xf numFmtId="0" fontId="14" fillId="14" borderId="2" xfId="0" applyFont="1" applyFill="1" applyBorder="1" applyAlignment="1">
      <alignment horizontal="centerContinuous" wrapText="1" readingOrder="1"/>
    </xf>
    <xf numFmtId="164" fontId="14" fillId="14" borderId="2" xfId="0" applyNumberFormat="1" applyFont="1" applyFill="1" applyBorder="1" applyAlignment="1">
      <alignment horizontal="centerContinuous" wrapText="1" readingOrder="1"/>
    </xf>
    <xf numFmtId="164" fontId="14" fillId="14" borderId="3" xfId="0" applyNumberFormat="1" applyFont="1" applyFill="1" applyBorder="1" applyAlignment="1">
      <alignment horizontal="centerContinuous" wrapText="1" readingOrder="1"/>
    </xf>
    <xf numFmtId="164" fontId="14" fillId="14" borderId="10" xfId="0" applyNumberFormat="1" applyFont="1" applyFill="1" applyBorder="1" applyAlignment="1">
      <alignment horizontal="center" wrapText="1" readingOrder="1"/>
    </xf>
    <xf numFmtId="164" fontId="14" fillId="14" borderId="1" xfId="0" applyNumberFormat="1" applyFont="1" applyFill="1" applyBorder="1" applyAlignment="1">
      <alignment horizontal="centerContinuous" wrapText="1" readingOrder="1"/>
    </xf>
    <xf numFmtId="0" fontId="15" fillId="0" borderId="0" xfId="0" applyFont="1">
      <alignment readingOrder="1"/>
    </xf>
    <xf numFmtId="164" fontId="15" fillId="0" borderId="0" xfId="0" applyNumberFormat="1" applyFont="1">
      <alignment readingOrder="1"/>
    </xf>
    <xf numFmtId="177" fontId="15" fillId="0" borderId="0" xfId="0" applyNumberFormat="1" applyFont="1">
      <alignment readingOrder="1"/>
    </xf>
    <xf numFmtId="177" fontId="0" fillId="0" borderId="0" xfId="0" applyNumberFormat="1">
      <alignment readingOrder="1"/>
    </xf>
    <xf numFmtId="177" fontId="20" fillId="0" borderId="0" xfId="0" applyNumberFormat="1" applyFont="1">
      <alignment readingOrder="1"/>
    </xf>
    <xf numFmtId="0" fontId="14" fillId="14" borderId="5" xfId="0" applyFont="1" applyFill="1" applyBorder="1" applyAlignment="1">
      <alignment horizontal="center" wrapText="1" readingOrder="1"/>
    </xf>
    <xf numFmtId="0" fontId="14" fillId="14" borderId="8" xfId="0" applyFont="1" applyFill="1" applyBorder="1" applyAlignment="1">
      <alignment horizontal="center" wrapText="1" readingOrder="1"/>
    </xf>
    <xf numFmtId="164" fontId="14" fillId="14" borderId="8" xfId="0" applyNumberFormat="1" applyFont="1" applyFill="1" applyBorder="1" applyAlignment="1">
      <alignment horizontal="center" wrapText="1" readingOrder="1"/>
    </xf>
    <xf numFmtId="164" fontId="14" fillId="14" borderId="23" xfId="0" applyNumberFormat="1" applyFont="1" applyFill="1" applyBorder="1" applyAlignment="1">
      <alignment horizontal="centerContinuous" wrapText="1" readingOrder="1"/>
    </xf>
    <xf numFmtId="164" fontId="14" fillId="14" borderId="24" xfId="0" applyNumberFormat="1" applyFont="1" applyFill="1" applyBorder="1" applyAlignment="1">
      <alignment horizontal="centerContinuous" wrapText="1" readingOrder="1"/>
    </xf>
    <xf numFmtId="0" fontId="57" fillId="0" borderId="0" xfId="0" applyFont="1" applyAlignment="1">
      <alignment horizontal="center" vertical="center"/>
    </xf>
    <xf numFmtId="1" fontId="0" fillId="49" borderId="0" xfId="0" applyNumberFormat="1" applyFill="1">
      <alignment readingOrder="1"/>
    </xf>
    <xf numFmtId="9" fontId="5" fillId="49" borderId="0" xfId="3" applyFont="1" applyFill="1">
      <alignment readingOrder="1"/>
    </xf>
    <xf numFmtId="9" fontId="0" fillId="0" borderId="0" xfId="3" applyFont="1">
      <alignment readingOrder="1"/>
    </xf>
    <xf numFmtId="9" fontId="0" fillId="0" borderId="0" xfId="0" applyNumberFormat="1" applyAlignment="1">
      <alignment horizontal="center" readingOrder="1"/>
    </xf>
    <xf numFmtId="0" fontId="23" fillId="49" borderId="5" xfId="0" applyFont="1" applyFill="1" applyBorder="1"/>
    <xf numFmtId="0" fontId="23" fillId="49" borderId="6" xfId="0" applyFont="1" applyFill="1" applyBorder="1"/>
    <xf numFmtId="0" fontId="23" fillId="49" borderId="11" xfId="0" applyFont="1" applyFill="1" applyBorder="1"/>
    <xf numFmtId="9" fontId="23" fillId="49" borderId="5" xfId="11" applyFont="1" applyFill="1" applyBorder="1"/>
    <xf numFmtId="0" fontId="0" fillId="50" borderId="0" xfId="0" applyFill="1">
      <alignment readingOrder="1"/>
    </xf>
    <xf numFmtId="9" fontId="0" fillId="50" borderId="0" xfId="0" applyNumberFormat="1" applyFill="1">
      <alignment readingOrder="1"/>
    </xf>
    <xf numFmtId="168" fontId="0" fillId="50" borderId="0" xfId="1" applyNumberFormat="1" applyFont="1" applyFill="1">
      <alignment readingOrder="1"/>
    </xf>
    <xf numFmtId="0" fontId="23" fillId="50" borderId="37" xfId="0" applyFont="1" applyFill="1" applyBorder="1"/>
    <xf numFmtId="0" fontId="23" fillId="50" borderId="39" xfId="0" applyFont="1" applyFill="1" applyBorder="1"/>
    <xf numFmtId="164" fontId="0" fillId="50" borderId="0" xfId="0" applyNumberFormat="1" applyFill="1">
      <alignment readingOrder="1"/>
    </xf>
    <xf numFmtId="0" fontId="23" fillId="59" borderId="5" xfId="0" applyFont="1" applyFill="1" applyBorder="1"/>
    <xf numFmtId="164" fontId="23" fillId="59" borderId="5" xfId="0" applyNumberFormat="1" applyFont="1" applyFill="1" applyBorder="1"/>
    <xf numFmtId="0" fontId="2" fillId="49" borderId="7" xfId="0" applyFont="1" applyFill="1" applyBorder="1" applyAlignment="1">
      <alignment horizontal="center" readingOrder="1"/>
    </xf>
    <xf numFmtId="0" fontId="2" fillId="49" borderId="4" xfId="0" applyFont="1" applyFill="1" applyBorder="1" applyAlignment="1">
      <alignment horizontal="center" readingOrder="1"/>
    </xf>
    <xf numFmtId="2" fontId="0" fillId="0" borderId="0" xfId="0" applyNumberFormat="1" applyFill="1">
      <alignment readingOrder="1"/>
    </xf>
    <xf numFmtId="0" fontId="23" fillId="54" borderId="5" xfId="0" applyFont="1" applyFill="1" applyBorder="1"/>
    <xf numFmtId="0" fontId="23" fillId="49" borderId="7" xfId="0" applyFont="1" applyFill="1" applyBorder="1"/>
    <xf numFmtId="0" fontId="3" fillId="49" borderId="0" xfId="0" applyFont="1" applyFill="1" applyBorder="1"/>
    <xf numFmtId="0" fontId="23" fillId="54" borderId="7" xfId="0" applyFont="1" applyFill="1" applyBorder="1"/>
    <xf numFmtId="0" fontId="23" fillId="49" borderId="9" xfId="0" applyFont="1" applyFill="1" applyBorder="1"/>
    <xf numFmtId="9" fontId="0" fillId="59" borderId="0" xfId="3" applyFont="1" applyFill="1">
      <alignment readingOrder="1"/>
    </xf>
    <xf numFmtId="9" fontId="0" fillId="59" borderId="0" xfId="11" applyFont="1" applyFill="1" applyAlignment="1">
      <alignment horizontal="center" readingOrder="1"/>
    </xf>
    <xf numFmtId="1" fontId="0" fillId="50" borderId="0" xfId="0" applyNumberFormat="1" applyFill="1">
      <alignment readingOrder="1"/>
    </xf>
    <xf numFmtId="9" fontId="2" fillId="50" borderId="42" xfId="0" applyNumberFormat="1" applyFont="1" applyFill="1" applyBorder="1">
      <alignment readingOrder="1"/>
    </xf>
    <xf numFmtId="168" fontId="0" fillId="50" borderId="0" xfId="0" applyNumberFormat="1" applyFill="1">
      <alignment readingOrder="1"/>
    </xf>
    <xf numFmtId="1" fontId="0" fillId="59" borderId="0" xfId="0" applyNumberFormat="1" applyFill="1" applyAlignment="1">
      <alignment horizontal="center" readingOrder="1"/>
    </xf>
    <xf numFmtId="164" fontId="0" fillId="59" borderId="0" xfId="0" applyNumberFormat="1" applyFill="1" applyAlignment="1">
      <alignment horizontal="center" readingOrder="1"/>
    </xf>
    <xf numFmtId="0" fontId="23" fillId="50" borderId="5" xfId="0" applyFont="1" applyFill="1" applyBorder="1"/>
    <xf numFmtId="0" fontId="5" fillId="58" borderId="12" xfId="5" applyFont="1" applyFill="1" applyBorder="1" applyAlignment="1">
      <alignment wrapText="1" readingOrder="1"/>
    </xf>
    <xf numFmtId="15" fontId="57" fillId="0" borderId="0" xfId="190" applyNumberFormat="1" applyFont="1" applyFill="1" applyAlignment="1">
      <alignment horizontal="center" vertical="center"/>
    </xf>
    <xf numFmtId="15" fontId="57" fillId="0" borderId="0" xfId="0" applyNumberFormat="1" applyFont="1" applyAlignment="1">
      <alignment horizontal="center" vertical="center"/>
    </xf>
    <xf numFmtId="0" fontId="0" fillId="50" borderId="6" xfId="0" applyNumberFormat="1" applyFill="1" applyBorder="1" applyAlignment="1">
      <alignment horizontal="left" vertical="center" wrapText="1" readingOrder="1"/>
    </xf>
    <xf numFmtId="0" fontId="0" fillId="50" borderId="36" xfId="0" applyNumberFormat="1" applyFill="1" applyBorder="1" applyAlignment="1">
      <alignment horizontal="left" vertical="center" wrapText="1" readingOrder="1"/>
    </xf>
    <xf numFmtId="0" fontId="0" fillId="50" borderId="37" xfId="0" applyNumberFormat="1" applyFill="1" applyBorder="1" applyAlignment="1">
      <alignment horizontal="left" vertical="center" wrapText="1" readingOrder="1"/>
    </xf>
    <xf numFmtId="0" fontId="0" fillId="50" borderId="22" xfId="0" applyNumberFormat="1" applyFill="1" applyBorder="1" applyAlignment="1">
      <alignment horizontal="left" vertical="center" wrapText="1" readingOrder="1"/>
    </xf>
    <xf numFmtId="0" fontId="0" fillId="50" borderId="0" xfId="0" applyNumberFormat="1" applyFill="1" applyBorder="1" applyAlignment="1">
      <alignment horizontal="left" vertical="center" wrapText="1" readingOrder="1"/>
    </xf>
    <xf numFmtId="0" fontId="0" fillId="50" borderId="38" xfId="0" applyNumberFormat="1" applyFill="1" applyBorder="1" applyAlignment="1">
      <alignment horizontal="left" vertical="center" wrapText="1" readingOrder="1"/>
    </xf>
    <xf numFmtId="0" fontId="0" fillId="50" borderId="13" xfId="0" applyNumberFormat="1" applyFill="1" applyBorder="1" applyAlignment="1">
      <alignment horizontal="left" vertical="center" wrapText="1" readingOrder="1"/>
    </xf>
    <xf numFmtId="0" fontId="0" fillId="50" borderId="39" xfId="0" applyNumberFormat="1" applyFill="1" applyBorder="1" applyAlignment="1">
      <alignment horizontal="left" vertical="center" wrapText="1" readingOrder="1"/>
    </xf>
    <xf numFmtId="0" fontId="14" fillId="3" borderId="9" xfId="7" applyFont="1" applyFill="1" applyBorder="1" applyAlignment="1">
      <alignment horizontal="center"/>
    </xf>
    <xf numFmtId="0" fontId="14" fillId="3" borderId="10" xfId="7" applyFont="1" applyFill="1" applyBorder="1" applyAlignment="1">
      <alignment horizontal="center"/>
    </xf>
    <xf numFmtId="0" fontId="14" fillId="3" borderId="8" xfId="7" applyFont="1" applyFill="1" applyBorder="1" applyAlignment="1">
      <alignment horizontal="center"/>
    </xf>
    <xf numFmtId="0" fontId="11" fillId="4" borderId="5" xfId="0" applyFont="1" applyFill="1" applyBorder="1" applyAlignment="1">
      <alignment horizontal="center"/>
    </xf>
    <xf numFmtId="0" fontId="15" fillId="0" borderId="5" xfId="0" applyFont="1" applyBorder="1" applyAlignment="1">
      <alignment horizontal="center"/>
    </xf>
    <xf numFmtId="0" fontId="15" fillId="6" borderId="5" xfId="7" applyFont="1" applyFill="1" applyBorder="1" applyAlignment="1">
      <alignment horizontal="center"/>
    </xf>
    <xf numFmtId="0" fontId="0" fillId="49" borderId="5" xfId="0" applyFill="1" applyBorder="1" applyAlignment="1">
      <alignment horizontal="center"/>
    </xf>
    <xf numFmtId="0" fontId="2" fillId="18" borderId="5" xfId="0" applyFont="1" applyFill="1" applyBorder="1" applyAlignment="1">
      <alignment horizontal="center"/>
    </xf>
    <xf numFmtId="9" fontId="0" fillId="0" borderId="7" xfId="0" applyNumberFormat="1" applyBorder="1" applyAlignment="1">
      <alignment horizontal="center" vertical="center"/>
    </xf>
    <xf numFmtId="9" fontId="0" fillId="0" borderId="12" xfId="0" applyNumberFormat="1" applyBorder="1" applyAlignment="1">
      <alignment horizontal="center" vertical="center"/>
    </xf>
    <xf numFmtId="9" fontId="0" fillId="0" borderId="4" xfId="0" applyNumberFormat="1" applyBorder="1" applyAlignment="1">
      <alignment horizontal="center" vertical="center"/>
    </xf>
    <xf numFmtId="0" fontId="0" fillId="0" borderId="4" xfId="0" applyBorder="1" applyAlignment="1">
      <alignment horizontal="center" vertical="center"/>
    </xf>
    <xf numFmtId="0" fontId="5" fillId="18" borderId="9" xfId="13" applyFont="1" applyFill="1" applyBorder="1" applyAlignment="1">
      <alignment horizontal="center" wrapText="1"/>
    </xf>
    <xf numFmtId="0" fontId="5" fillId="18" borderId="10" xfId="13" applyFont="1" applyFill="1" applyBorder="1" applyAlignment="1">
      <alignment horizontal="center" wrapText="1"/>
    </xf>
    <xf numFmtId="0" fontId="5" fillId="18" borderId="8" xfId="13" applyFont="1" applyFill="1" applyBorder="1" applyAlignment="1">
      <alignment horizontal="center" wrapText="1"/>
    </xf>
    <xf numFmtId="9" fontId="0" fillId="0" borderId="5" xfId="0" applyNumberFormat="1" applyBorder="1" applyAlignment="1">
      <alignment horizontal="center" vertical="center"/>
    </xf>
    <xf numFmtId="0" fontId="0" fillId="0" borderId="5" xfId="0" applyBorder="1" applyAlignment="1">
      <alignment horizontal="center" vertical="center"/>
    </xf>
    <xf numFmtId="0" fontId="0" fillId="18" borderId="13" xfId="0" applyFill="1" applyBorder="1" applyAlignment="1">
      <alignment horizontal="center" vertical="center" wrapText="1" readingOrder="1"/>
    </xf>
    <xf numFmtId="0" fontId="0" fillId="0" borderId="9" xfId="0" applyBorder="1" applyAlignment="1">
      <alignment horizontal="center" vertical="center" wrapText="1" readingOrder="1"/>
    </xf>
    <xf numFmtId="0" fontId="0" fillId="0" borderId="10" xfId="0" applyBorder="1" applyAlignment="1">
      <alignment horizontal="center" vertical="center" wrapText="1" readingOrder="1"/>
    </xf>
    <xf numFmtId="0" fontId="0" fillId="0" borderId="8" xfId="0" applyBorder="1" applyAlignment="1">
      <alignment horizontal="center" vertical="center" wrapText="1" readingOrder="1"/>
    </xf>
    <xf numFmtId="0" fontId="0" fillId="0" borderId="14" xfId="0" applyBorder="1" applyAlignment="1">
      <alignment horizontal="center" vertical="center" wrapText="1" readingOrder="1"/>
    </xf>
    <xf numFmtId="0" fontId="0" fillId="0" borderId="15" xfId="0" applyBorder="1" applyAlignment="1">
      <alignment horizontal="center" vertical="center" wrapText="1" readingOrder="1"/>
    </xf>
    <xf numFmtId="0" fontId="0" fillId="0" borderId="14" xfId="0" applyBorder="1" applyAlignment="1">
      <alignment horizontal="center" vertical="center" readingOrder="1"/>
    </xf>
    <xf numFmtId="0" fontId="0" fillId="0" borderId="16" xfId="0" applyBorder="1" applyAlignment="1">
      <alignment horizontal="center" vertical="center" readingOrder="1"/>
    </xf>
    <xf numFmtId="0" fontId="0" fillId="0" borderId="15" xfId="0" applyBorder="1" applyAlignment="1">
      <alignment horizontal="center" vertical="center" readingOrder="1"/>
    </xf>
    <xf numFmtId="0" fontId="15" fillId="12" borderId="9" xfId="0" applyFont="1" applyFill="1" applyBorder="1" applyAlignment="1">
      <alignment horizontal="center" readingOrder="1"/>
    </xf>
    <xf numFmtId="0" fontId="15" fillId="12" borderId="10" xfId="0" applyFont="1" applyFill="1" applyBorder="1" applyAlignment="1">
      <alignment horizontal="center" readingOrder="1"/>
    </xf>
    <xf numFmtId="0" fontId="15" fillId="12" borderId="8" xfId="0" applyFont="1" applyFill="1" applyBorder="1" applyAlignment="1">
      <alignment horizontal="center" readingOrder="1"/>
    </xf>
    <xf numFmtId="0" fontId="0" fillId="49" borderId="9" xfId="0" applyFill="1" applyBorder="1" applyAlignment="1">
      <alignment horizontal="center" vertical="center"/>
    </xf>
    <xf numFmtId="0" fontId="0" fillId="49" borderId="10" xfId="0" applyFill="1" applyBorder="1" applyAlignment="1">
      <alignment horizontal="center" vertical="center"/>
    </xf>
    <xf numFmtId="0" fontId="0" fillId="49" borderId="8" xfId="0" applyFill="1" applyBorder="1" applyAlignment="1">
      <alignment horizontal="center" vertical="center"/>
    </xf>
    <xf numFmtId="0" fontId="55" fillId="55" borderId="14" xfId="0" applyFont="1" applyFill="1" applyBorder="1" applyAlignment="1">
      <alignment horizontal="center" vertical="center" wrapText="1"/>
    </xf>
    <xf numFmtId="0" fontId="55" fillId="55" borderId="16" xfId="0" applyFont="1" applyFill="1" applyBorder="1" applyAlignment="1">
      <alignment horizontal="center" vertical="center" wrapText="1"/>
    </xf>
    <xf numFmtId="0" fontId="55" fillId="55" borderId="15" xfId="0" applyFont="1" applyFill="1" applyBorder="1" applyAlignment="1">
      <alignment horizontal="center" vertical="center" wrapText="1"/>
    </xf>
    <xf numFmtId="0" fontId="5" fillId="18" borderId="22" xfId="13" applyFont="1" applyFill="1" applyBorder="1" applyAlignment="1">
      <alignment horizontal="center"/>
    </xf>
    <xf numFmtId="0" fontId="5" fillId="18" borderId="0" xfId="13" applyFont="1" applyFill="1" applyBorder="1" applyAlignment="1">
      <alignment horizontal="center"/>
    </xf>
    <xf numFmtId="0" fontId="5" fillId="18" borderId="9" xfId="13" applyFont="1" applyFill="1" applyBorder="1" applyAlignment="1">
      <alignment horizontal="center"/>
    </xf>
    <xf numFmtId="0" fontId="5" fillId="18" borderId="10" xfId="13" applyFont="1" applyFill="1" applyBorder="1" applyAlignment="1">
      <alignment horizontal="center"/>
    </xf>
    <xf numFmtId="0" fontId="5" fillId="18" borderId="8" xfId="13" applyFont="1" applyFill="1" applyBorder="1" applyAlignment="1">
      <alignment horizontal="center"/>
    </xf>
    <xf numFmtId="1" fontId="5" fillId="0" borderId="0" xfId="13" applyNumberFormat="1" applyAlignment="1">
      <alignment horizontal="center"/>
    </xf>
    <xf numFmtId="9" fontId="0" fillId="22" borderId="5" xfId="0" applyNumberFormat="1" applyFill="1" applyBorder="1"/>
    <xf numFmtId="9" fontId="0" fillId="0" borderId="5" xfId="0" applyNumberFormat="1" applyBorder="1" applyAlignment="1">
      <alignment horizontal="center"/>
    </xf>
    <xf numFmtId="171" fontId="0" fillId="0" borderId="5" xfId="0" applyNumberFormat="1" applyBorder="1" applyAlignment="1">
      <alignment horizontal="center"/>
    </xf>
  </cellXfs>
  <cellStyles count="213">
    <cellStyle name="20% - Accent1 2" xfId="21"/>
    <cellStyle name="20% - Accent1 2 2" xfId="22"/>
    <cellStyle name="20% - Accent2 2" xfId="23"/>
    <cellStyle name="20% - Accent3 2" xfId="24"/>
    <cellStyle name="20% - Accent3 2 2" xfId="25"/>
    <cellStyle name="20% - Accent4 2" xfId="26"/>
    <cellStyle name="20% - Accent4 2 2" xfId="27"/>
    <cellStyle name="20% - Accent5 2" xfId="28"/>
    <cellStyle name="20% - Accent6 2" xfId="29"/>
    <cellStyle name="40% - Accent1 2" xfId="30"/>
    <cellStyle name="40% - Accent1 2 2" xfId="31"/>
    <cellStyle name="40% - Accent2 2" xfId="32"/>
    <cellStyle name="40% - Accent2 2 2" xfId="33"/>
    <cellStyle name="40% - Accent3 2" xfId="34"/>
    <cellStyle name="40% - Accent3 2 2" xfId="35"/>
    <cellStyle name="40% - Accent4 2" xfId="36"/>
    <cellStyle name="40% - Accent4 2 2" xfId="37"/>
    <cellStyle name="40% - Accent5 2" xfId="38"/>
    <cellStyle name="40% - Accent6 2" xfId="39"/>
    <cellStyle name="40% - Accent6 2 2" xfId="40"/>
    <cellStyle name="60% - Accent1 2" xfId="41"/>
    <cellStyle name="60% - Accent1 2 2" xfId="42"/>
    <cellStyle name="60% - Accent2 2" xfId="43"/>
    <cellStyle name="60% - Accent2 2 2" xfId="44"/>
    <cellStyle name="60% - Accent3 2" xfId="45"/>
    <cellStyle name="60% - Accent3 2 2" xfId="46"/>
    <cellStyle name="60% - Accent4 2" xfId="47"/>
    <cellStyle name="60% - Accent4 2 2" xfId="48"/>
    <cellStyle name="60% - Accent5 2" xfId="49"/>
    <cellStyle name="60% - Accent6 2" xfId="50"/>
    <cellStyle name="60% - Accent6 2 2" xfId="51"/>
    <cellStyle name="Accent1 2" xfId="52"/>
    <cellStyle name="Accent1 2 2" xfId="53"/>
    <cellStyle name="Accent2 2" xfId="54"/>
    <cellStyle name="Accent3 2" xfId="55"/>
    <cellStyle name="Accent3 2 2" xfId="56"/>
    <cellStyle name="Accent4 2" xfId="57"/>
    <cellStyle name="Accent4 2 2" xfId="58"/>
    <cellStyle name="Accent5 2" xfId="59"/>
    <cellStyle name="Accent6 2" xfId="60"/>
    <cellStyle name="Bad 2" xfId="61"/>
    <cellStyle name="Bad 2 2" xfId="62"/>
    <cellStyle name="Calculation 2" xfId="63"/>
    <cellStyle name="Calculation 2 2" xfId="64"/>
    <cellStyle name="Check Cell 2" xfId="65"/>
    <cellStyle name="Comma" xfId="1" builtinId="3"/>
    <cellStyle name="Comma 2" xfId="9"/>
    <cellStyle name="Comma 2 2" xfId="66"/>
    <cellStyle name="Comma 2 2 2" xfId="67"/>
    <cellStyle name="Comma 2 2 3" xfId="68"/>
    <cellStyle name="Comma 2 3" xfId="69"/>
    <cellStyle name="Comma 2 4" xfId="70"/>
    <cellStyle name="Comma 3" xfId="71"/>
    <cellStyle name="Comma 3 2" xfId="72"/>
    <cellStyle name="Comma 3 2 2" xfId="73"/>
    <cellStyle name="Comma 3 2 3" xfId="74"/>
    <cellStyle name="Comma 3 3" xfId="75"/>
    <cellStyle name="Comma 3 4" xfId="76"/>
    <cellStyle name="Currency" xfId="2" builtinId="4"/>
    <cellStyle name="Currency 2" xfId="10"/>
    <cellStyle name="Currency 2 2" xfId="77"/>
    <cellStyle name="Currency 2 2 2" xfId="78"/>
    <cellStyle name="Currency 2 2 3" xfId="79"/>
    <cellStyle name="Currency 2 3" xfId="80"/>
    <cellStyle name="Currency 2 4" xfId="81"/>
    <cellStyle name="Currency 3" xfId="82"/>
    <cellStyle name="Currency 3 2" xfId="83"/>
    <cellStyle name="Currency 3 2 2" xfId="84"/>
    <cellStyle name="Currency 3 2 3" xfId="85"/>
    <cellStyle name="Currency 3 3" xfId="86"/>
    <cellStyle name="Currency 3 4" xfId="87"/>
    <cellStyle name="Data Field" xfId="14"/>
    <cellStyle name="Data Field 2" xfId="88"/>
    <cellStyle name="Data Field 2 2" xfId="89"/>
    <cellStyle name="Data Field 2 3" xfId="90"/>
    <cellStyle name="Data Field 3" xfId="91"/>
    <cellStyle name="Data Field 4" xfId="92"/>
    <cellStyle name="Data Name" xfId="15"/>
    <cellStyle name="Date/Time" xfId="16"/>
    <cellStyle name="Explanatory Text 2" xfId="93"/>
    <cellStyle name="Good 2" xfId="94"/>
    <cellStyle name="Heading" xfId="17"/>
    <cellStyle name="Heading 1 2" xfId="95"/>
    <cellStyle name="Heading 1 2 2" xfId="96"/>
    <cellStyle name="Heading 3 2" xfId="97"/>
    <cellStyle name="Heading 3 2 2" xfId="98"/>
    <cellStyle name="Heading 4 2" xfId="99"/>
    <cellStyle name="Heading 4 2 2" xfId="100"/>
    <cellStyle name="Hyperlink" xfId="12" builtinId="8"/>
    <cellStyle name="Hyperlink 2" xfId="101"/>
    <cellStyle name="Hyperlink 3" xfId="102"/>
    <cellStyle name="Input 2" xfId="103"/>
    <cellStyle name="Linked Cell 2" xfId="104"/>
    <cellStyle name="Neutral 2" xfId="105"/>
    <cellStyle name="Normal" xfId="0" builtinId="0"/>
    <cellStyle name="Normal 10" xfId="106"/>
    <cellStyle name="Normal 11" xfId="107"/>
    <cellStyle name="Normal 12" xfId="108"/>
    <cellStyle name="Normal 13" xfId="5"/>
    <cellStyle name="Normal 13 2" xfId="109"/>
    <cellStyle name="Normal 14" xfId="110"/>
    <cellStyle name="Normal 14 2" xfId="111"/>
    <cellStyle name="Normal 14 3" xfId="112"/>
    <cellStyle name="Normal 14 3 2" xfId="191"/>
    <cellStyle name="Normal 14 4" xfId="113"/>
    <cellStyle name="Normal 14 4 2" xfId="192"/>
    <cellStyle name="Normal 14 5" xfId="193"/>
    <cellStyle name="Normal 15" xfId="114"/>
    <cellStyle name="Normal 15 2" xfId="115"/>
    <cellStyle name="Normal 15 2 2" xfId="194"/>
    <cellStyle name="Normal 15 3" xfId="116"/>
    <cellStyle name="Normal 15 3 2" xfId="195"/>
    <cellStyle name="Normal 15 4" xfId="196"/>
    <cellStyle name="Normal 16" xfId="117"/>
    <cellStyle name="Normal 17" xfId="118"/>
    <cellStyle name="Normal 17 2" xfId="197"/>
    <cellStyle name="Normal 2" xfId="20"/>
    <cellStyle name="Normal 2 2" xfId="119"/>
    <cellStyle name="Normal 2 2 2" xfId="120"/>
    <cellStyle name="Normal 2 2 2 2" xfId="121"/>
    <cellStyle name="Normal 2 2 2 3" xfId="122"/>
    <cellStyle name="Normal 2 2 3" xfId="123"/>
    <cellStyle name="Normal 2 2 4" xfId="124"/>
    <cellStyle name="Normal 2 3" xfId="125"/>
    <cellStyle name="Normal 2 3 2" xfId="126"/>
    <cellStyle name="Normal 2 3 3" xfId="127"/>
    <cellStyle name="Normal 2 4" xfId="128"/>
    <cellStyle name="Normal 2 4 2" xfId="129"/>
    <cellStyle name="Normal 2 4 3" xfId="130"/>
    <cellStyle name="Normal 2 5" xfId="131"/>
    <cellStyle name="Normal 2 6" xfId="132"/>
    <cellStyle name="Normal 2 6 2" xfId="133"/>
    <cellStyle name="Normal 2 7" xfId="134"/>
    <cellStyle name="Normal 3" xfId="6"/>
    <cellStyle name="Normal 3 2" xfId="135"/>
    <cellStyle name="Normal 3 2 2" xfId="136"/>
    <cellStyle name="Normal 3 2 3" xfId="137"/>
    <cellStyle name="Normal 3 3" xfId="138"/>
    <cellStyle name="Normal 3 4" xfId="139"/>
    <cellStyle name="Normal 4" xfId="140"/>
    <cellStyle name="Normal 4 2" xfId="141"/>
    <cellStyle name="Normal 4 3" xfId="142"/>
    <cellStyle name="Normal 4 3 2" xfId="143"/>
    <cellStyle name="Normal 4 3 2 2" xfId="198"/>
    <cellStyle name="Normal 4 3 3" xfId="144"/>
    <cellStyle name="Normal 4 3 3 2" xfId="199"/>
    <cellStyle name="Normal 4 3 4" xfId="200"/>
    <cellStyle name="Normal 4 4" xfId="145"/>
    <cellStyle name="Normal 4 4 2" xfId="146"/>
    <cellStyle name="Normal 4 4 2 2" xfId="201"/>
    <cellStyle name="Normal 4 4 3" xfId="147"/>
    <cellStyle name="Normal 4 4 3 2" xfId="202"/>
    <cellStyle name="Normal 4 4 4" xfId="203"/>
    <cellStyle name="Normal 4 5" xfId="148"/>
    <cellStyle name="Normal 4 5 2" xfId="149"/>
    <cellStyle name="Normal 4 5 2 2" xfId="204"/>
    <cellStyle name="Normal 4 5 3" xfId="150"/>
    <cellStyle name="Normal 4 5 3 2" xfId="205"/>
    <cellStyle name="Normal 4 5 4" xfId="206"/>
    <cellStyle name="Normal 4 6" xfId="151"/>
    <cellStyle name="Normal 4 6 2" xfId="207"/>
    <cellStyle name="Normal 4 7" xfId="152"/>
    <cellStyle name="Normal 4 7 2" xfId="208"/>
    <cellStyle name="Normal 4 8" xfId="209"/>
    <cellStyle name="Normal 5" xfId="153"/>
    <cellStyle name="Normal 5 2" xfId="154"/>
    <cellStyle name="Normal 6" xfId="155"/>
    <cellStyle name="Normal 7" xfId="156"/>
    <cellStyle name="Normal 7 2" xfId="157"/>
    <cellStyle name="Normal 8" xfId="158"/>
    <cellStyle name="Normal 8 2" xfId="159"/>
    <cellStyle name="Normal 9" xfId="160"/>
    <cellStyle name="Normal 9 2" xfId="161"/>
    <cellStyle name="Normal 9 3" xfId="162"/>
    <cellStyle name="Normal_MTDUCT" xfId="7"/>
    <cellStyle name="Normal_PC-LPDPackage-6P-D14" xfId="4"/>
    <cellStyle name="Normal_PC-LPDPackageNew-5P" xfId="13"/>
    <cellStyle name="Normal_PC-PackRTOptimize-D1-6p-D2" xfId="190"/>
    <cellStyle name="Normal_ProCostFinAssumptions_Sector" xfId="8"/>
    <cellStyle name="Note 2" xfId="163"/>
    <cellStyle name="Note 2 2" xfId="164"/>
    <cellStyle name="Output 2" xfId="165"/>
    <cellStyle name="Output 2 2" xfId="166"/>
    <cellStyle name="Percent" xfId="3" builtinId="5"/>
    <cellStyle name="Percent 2" xfId="11"/>
    <cellStyle name="Percent 2 2" xfId="167"/>
    <cellStyle name="Percent 2 2 2" xfId="168"/>
    <cellStyle name="Percent 2 2 2 2" xfId="169"/>
    <cellStyle name="Percent 2 2 2 3" xfId="170"/>
    <cellStyle name="Percent 2 2 3" xfId="171"/>
    <cellStyle name="Percent 2 2 4" xfId="172"/>
    <cellStyle name="Percent 2 3" xfId="173"/>
    <cellStyle name="Percent 2 3 2" xfId="174"/>
    <cellStyle name="Percent 2 3 2 2" xfId="210"/>
    <cellStyle name="Percent 2 3 3" xfId="175"/>
    <cellStyle name="Percent 2 3 3 2" xfId="211"/>
    <cellStyle name="Percent 2 3 4" xfId="212"/>
    <cellStyle name="Percent 3" xfId="176"/>
    <cellStyle name="Percent 3 2" xfId="177"/>
    <cellStyle name="Percent 3 2 2" xfId="178"/>
    <cellStyle name="Percent 3 2 3" xfId="179"/>
    <cellStyle name="Percent 3 3" xfId="180"/>
    <cellStyle name="Percent 3 4" xfId="181"/>
    <cellStyle name="Percent 4" xfId="182"/>
    <cellStyle name="Percent 4 2" xfId="183"/>
    <cellStyle name="Percent 5" xfId="184"/>
    <cellStyle name="Title 2" xfId="185"/>
    <cellStyle name="Title 2 2" xfId="186"/>
    <cellStyle name="Total 2" xfId="187"/>
    <cellStyle name="Total 2 2" xfId="188"/>
    <cellStyle name="Warning Text 2" xfId="189"/>
    <cellStyle name="표준_ENERGY CONSUMP" xfId="18"/>
    <cellStyle name="常规_海外市场服务网站资料操作BOM" xfId="19"/>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8" Type="http://schemas.openxmlformats.org/officeDocument/2006/relationships/image" Target="../media/image14.emf"/><Relationship Id="rId3" Type="http://schemas.openxmlformats.org/officeDocument/2006/relationships/image" Target="../media/image9.emf"/><Relationship Id="rId7" Type="http://schemas.openxmlformats.org/officeDocument/2006/relationships/image" Target="../media/image13.emf"/><Relationship Id="rId2" Type="http://schemas.openxmlformats.org/officeDocument/2006/relationships/image" Target="../media/image8.emf"/><Relationship Id="rId1" Type="http://schemas.openxmlformats.org/officeDocument/2006/relationships/image" Target="../media/image7.emf"/><Relationship Id="rId6" Type="http://schemas.openxmlformats.org/officeDocument/2006/relationships/image" Target="../media/image12.emf"/><Relationship Id="rId5" Type="http://schemas.openxmlformats.org/officeDocument/2006/relationships/image" Target="../media/image11.emf"/><Relationship Id="rId4" Type="http://schemas.openxmlformats.org/officeDocument/2006/relationships/image" Target="../media/image10.emf"/><Relationship Id="rId9" Type="http://schemas.openxmlformats.org/officeDocument/2006/relationships/image" Target="../media/image15.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590550</xdr:colOff>
      <xdr:row>4</xdr:row>
      <xdr:rowOff>114300</xdr:rowOff>
    </xdr:from>
    <xdr:to>
      <xdr:col>10</xdr:col>
      <xdr:colOff>85725</xdr:colOff>
      <xdr:row>31</xdr:row>
      <xdr:rowOff>27004</xdr:rowOff>
    </xdr:to>
    <xdr:pic>
      <xdr:nvPicPr>
        <xdr:cNvPr id="133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90550" y="762000"/>
          <a:ext cx="7439025" cy="6161104"/>
        </a:xfrm>
        <a:prstGeom prst="rect">
          <a:avLst/>
        </a:prstGeom>
        <a:noFill/>
        <a:ln>
          <a:solidFill>
            <a:schemeClr val="accent1"/>
          </a:solidFill>
        </a:ln>
      </xdr:spPr>
    </xdr:pic>
    <xdr:clientData/>
  </xdr:twoCellAnchor>
  <xdr:twoCellAnchor>
    <xdr:from>
      <xdr:col>1</xdr:col>
      <xdr:colOff>19050</xdr:colOff>
      <xdr:row>33</xdr:row>
      <xdr:rowOff>142875</xdr:rowOff>
    </xdr:from>
    <xdr:to>
      <xdr:col>13</xdr:col>
      <xdr:colOff>0</xdr:colOff>
      <xdr:row>64</xdr:row>
      <xdr:rowOff>28575</xdr:rowOff>
    </xdr:to>
    <xdr:sp macro="" textlink="">
      <xdr:nvSpPr>
        <xdr:cNvPr id="3" name="TextBox 2"/>
        <xdr:cNvSpPr txBox="1"/>
      </xdr:nvSpPr>
      <xdr:spPr>
        <a:xfrm>
          <a:off x="628650" y="7362825"/>
          <a:ext cx="7296150" cy="4905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Charlie:</a:t>
          </a:r>
        </a:p>
        <a:p>
          <a:r>
            <a:rPr lang="en-US" sz="1100">
              <a:solidFill>
                <a:schemeClr val="dk1"/>
              </a:solidFill>
              <a:latin typeface="+mn-lt"/>
              <a:ea typeface="+mn-ea"/>
              <a:cs typeface="+mn-cs"/>
            </a:rPr>
            <a:t> </a:t>
          </a:r>
        </a:p>
        <a:p>
          <a:r>
            <a:rPr lang="en-US" sz="1100">
              <a:solidFill>
                <a:schemeClr val="dk1"/>
              </a:solidFill>
              <a:latin typeface="+mn-lt"/>
              <a:ea typeface="+mn-ea"/>
              <a:cs typeface="+mn-cs"/>
            </a:rPr>
            <a:t>Below are cost quotes from one particular manufacturer, Cooper.  I can’t say offhand how suitable a replacement these would be for a 1000 W HID product in a given application, the proof is in the pudding.  But you can see there’s a 41,000 lumen product below for only $1200.  Earlier I was going to guess that a 50,000 lumen replacement product is probably in the $1500 range, and that’s probably not a bad guess today.  But if you’re projecting this out a couple of years, geez the price drop on these has been really rapid.  I might guess less than a $1000 within 5 years based on recent history.</a:t>
          </a:r>
        </a:p>
        <a:p>
          <a:r>
            <a:rPr lang="en-US" sz="1100">
              <a:solidFill>
                <a:schemeClr val="dk1"/>
              </a:solidFill>
              <a:latin typeface="+mn-lt"/>
              <a:ea typeface="+mn-ea"/>
              <a:cs typeface="+mn-cs"/>
            </a:rPr>
            <a:t> </a:t>
          </a:r>
        </a:p>
        <a:p>
          <a:r>
            <a:rPr lang="en-US" sz="1100">
              <a:solidFill>
                <a:schemeClr val="dk1"/>
              </a:solidFill>
              <a:latin typeface="+mn-lt"/>
              <a:ea typeface="+mn-ea"/>
              <a:cs typeface="+mn-cs"/>
            </a:rPr>
            <a:t>Bruce</a:t>
          </a:r>
        </a:p>
        <a:p>
          <a:r>
            <a:rPr lang="en-US" sz="1100">
              <a:solidFill>
                <a:schemeClr val="dk1"/>
              </a:solidFill>
              <a:latin typeface="+mn-lt"/>
              <a:ea typeface="+mn-ea"/>
              <a:cs typeface="+mn-cs"/>
            </a:rPr>
            <a:t> </a:t>
          </a:r>
        </a:p>
        <a:p>
          <a:r>
            <a:rPr lang="en-US" sz="1100" b="1">
              <a:solidFill>
                <a:schemeClr val="dk1"/>
              </a:solidFill>
              <a:latin typeface="+mn-lt"/>
              <a:ea typeface="+mn-ea"/>
              <a:cs typeface="+mn-cs"/>
            </a:rPr>
            <a:t>From:</a:t>
          </a:r>
          <a:r>
            <a:rPr lang="en-US" sz="1100">
              <a:solidFill>
                <a:schemeClr val="dk1"/>
              </a:solidFill>
              <a:latin typeface="+mn-lt"/>
              <a:ea typeface="+mn-ea"/>
              <a:cs typeface="+mn-cs"/>
            </a:rPr>
            <a:t> Wilkerson, Andrea M </a:t>
          </a:r>
          <a:br>
            <a:rPr lang="en-US" sz="1100">
              <a:solidFill>
                <a:schemeClr val="dk1"/>
              </a:solidFill>
              <a:latin typeface="+mn-lt"/>
              <a:ea typeface="+mn-ea"/>
              <a:cs typeface="+mn-cs"/>
            </a:rPr>
          </a:br>
          <a:r>
            <a:rPr lang="en-US" sz="1100" b="1">
              <a:solidFill>
                <a:schemeClr val="dk1"/>
              </a:solidFill>
              <a:latin typeface="+mn-lt"/>
              <a:ea typeface="+mn-ea"/>
              <a:cs typeface="+mn-cs"/>
            </a:rPr>
            <a:t>Sent:</a:t>
          </a:r>
          <a:r>
            <a:rPr lang="en-US" sz="1100">
              <a:solidFill>
                <a:schemeClr val="dk1"/>
              </a:solidFill>
              <a:latin typeface="+mn-lt"/>
              <a:ea typeface="+mn-ea"/>
              <a:cs typeface="+mn-cs"/>
            </a:rPr>
            <a:t> Wednesday, November 05, 2014 3:22 PM</a:t>
          </a:r>
          <a:br>
            <a:rPr lang="en-US" sz="1100">
              <a:solidFill>
                <a:schemeClr val="dk1"/>
              </a:solidFill>
              <a:latin typeface="+mn-lt"/>
              <a:ea typeface="+mn-ea"/>
              <a:cs typeface="+mn-cs"/>
            </a:rPr>
          </a:br>
          <a:r>
            <a:rPr lang="en-US" sz="1100" b="1">
              <a:solidFill>
                <a:schemeClr val="dk1"/>
              </a:solidFill>
              <a:latin typeface="+mn-lt"/>
              <a:ea typeface="+mn-ea"/>
              <a:cs typeface="+mn-cs"/>
            </a:rPr>
            <a:t>To:</a:t>
          </a:r>
          <a:r>
            <a:rPr lang="en-US" sz="1100">
              <a:solidFill>
                <a:schemeClr val="dk1"/>
              </a:solidFill>
              <a:latin typeface="+mn-lt"/>
              <a:ea typeface="+mn-ea"/>
              <a:cs typeface="+mn-cs"/>
            </a:rPr>
            <a:t> Kinzey, Bruce R</a:t>
          </a:r>
          <a:br>
            <a:rPr lang="en-US" sz="1100">
              <a:solidFill>
                <a:schemeClr val="dk1"/>
              </a:solidFill>
              <a:latin typeface="+mn-lt"/>
              <a:ea typeface="+mn-ea"/>
              <a:cs typeface="+mn-cs"/>
            </a:rPr>
          </a:br>
          <a:r>
            <a:rPr lang="en-US" sz="1100" b="1">
              <a:solidFill>
                <a:schemeClr val="dk1"/>
              </a:solidFill>
              <a:latin typeface="+mn-lt"/>
              <a:ea typeface="+mn-ea"/>
              <a:cs typeface="+mn-cs"/>
            </a:rPr>
            <a:t>Subject:</a:t>
          </a:r>
          <a:r>
            <a:rPr lang="en-US" sz="1100">
              <a:solidFill>
                <a:schemeClr val="dk1"/>
              </a:solidFill>
              <a:latin typeface="+mn-lt"/>
              <a:ea typeface="+mn-ea"/>
              <a:cs typeface="+mn-cs"/>
            </a:rPr>
            <a:t> LED Pricing </a:t>
          </a:r>
        </a:p>
        <a:p>
          <a:r>
            <a:rPr lang="en-US" sz="1100">
              <a:solidFill>
                <a:schemeClr val="dk1"/>
              </a:solidFill>
              <a:latin typeface="+mn-lt"/>
              <a:ea typeface="+mn-ea"/>
              <a:cs typeface="+mn-cs"/>
            </a:rPr>
            <a:t> </a:t>
          </a:r>
        </a:p>
        <a:p>
          <a:r>
            <a:rPr lang="en-US" sz="1100">
              <a:solidFill>
                <a:schemeClr val="dk1"/>
              </a:solidFill>
              <a:latin typeface="+mn-lt"/>
              <a:ea typeface="+mn-ea"/>
              <a:cs typeface="+mn-cs"/>
            </a:rPr>
            <a:t>Hi Bruce,</a:t>
          </a:r>
        </a:p>
        <a:p>
          <a:r>
            <a:rPr lang="en-US" sz="1100">
              <a:solidFill>
                <a:schemeClr val="dk1"/>
              </a:solidFill>
              <a:latin typeface="+mn-lt"/>
              <a:ea typeface="+mn-ea"/>
              <a:cs typeface="+mn-cs"/>
            </a:rPr>
            <a:t> </a:t>
          </a:r>
        </a:p>
        <a:p>
          <a:r>
            <a:rPr lang="en-US" sz="1100">
              <a:solidFill>
                <a:schemeClr val="dk1"/>
              </a:solidFill>
              <a:latin typeface="+mn-lt"/>
              <a:ea typeface="+mn-ea"/>
              <a:cs typeface="+mn-cs"/>
            </a:rPr>
            <a:t>I realized I was looking at the older generation. The newest generation lumen output is listed below.</a:t>
          </a:r>
        </a:p>
        <a:p>
          <a:r>
            <a:rPr lang="en-US" sz="1100">
              <a:solidFill>
                <a:schemeClr val="dk1"/>
              </a:solidFill>
              <a:latin typeface="+mn-lt"/>
              <a:ea typeface="+mn-ea"/>
              <a:cs typeface="+mn-cs"/>
            </a:rPr>
            <a:t> </a:t>
          </a:r>
        </a:p>
        <a:p>
          <a:r>
            <a:rPr lang="en-US" sz="1100">
              <a:solidFill>
                <a:schemeClr val="dk1"/>
              </a:solidFill>
              <a:latin typeface="+mn-lt"/>
              <a:ea typeface="+mn-ea"/>
              <a:cs typeface="+mn-cs"/>
            </a:rPr>
            <a:t>Wattage               Lumens                Price</a:t>
          </a:r>
        </a:p>
        <a:p>
          <a:r>
            <a:rPr lang="en-US" sz="1100">
              <a:solidFill>
                <a:schemeClr val="dk1"/>
              </a:solidFill>
              <a:latin typeface="+mn-lt"/>
              <a:ea typeface="+mn-ea"/>
              <a:cs typeface="+mn-cs"/>
            </a:rPr>
            <a:t>264                         25,652                   900         </a:t>
          </a:r>
        </a:p>
        <a:p>
          <a:r>
            <a:rPr lang="en-US" sz="1100">
              <a:solidFill>
                <a:schemeClr val="dk1"/>
              </a:solidFill>
              <a:latin typeface="+mn-lt"/>
              <a:ea typeface="+mn-ea"/>
              <a:cs typeface="+mn-cs"/>
            </a:rPr>
            <a:t>421                         41,134                   1200</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Andrea</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17</xdr:row>
      <xdr:rowOff>76201</xdr:rowOff>
    </xdr:from>
    <xdr:to>
      <xdr:col>5</xdr:col>
      <xdr:colOff>352425</xdr:colOff>
      <xdr:row>27</xdr:row>
      <xdr:rowOff>146441</xdr:rowOff>
    </xdr:to>
    <xdr:pic>
      <xdr:nvPicPr>
        <xdr:cNvPr id="143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209675" y="2828926"/>
          <a:ext cx="5895975" cy="1689490"/>
        </a:xfrm>
        <a:prstGeom prst="rect">
          <a:avLst/>
        </a:prstGeom>
        <a:noFill/>
        <a:ln>
          <a:solidFill>
            <a:schemeClr val="accent1"/>
          </a:solidFill>
        </a:ln>
      </xdr:spPr>
    </xdr:pic>
    <xdr:clientData/>
  </xdr:twoCellAnchor>
  <xdr:twoCellAnchor>
    <xdr:from>
      <xdr:col>6</xdr:col>
      <xdr:colOff>28575</xdr:colOff>
      <xdr:row>17</xdr:row>
      <xdr:rowOff>123825</xdr:rowOff>
    </xdr:from>
    <xdr:to>
      <xdr:col>12</xdr:col>
      <xdr:colOff>66675</xdr:colOff>
      <xdr:row>25</xdr:row>
      <xdr:rowOff>123825</xdr:rowOff>
    </xdr:to>
    <xdr:sp macro="" textlink="">
      <xdr:nvSpPr>
        <xdr:cNvPr id="3" name="TextBox 2"/>
        <xdr:cNvSpPr txBox="1"/>
      </xdr:nvSpPr>
      <xdr:spPr>
        <a:xfrm>
          <a:off x="6257925" y="2876550"/>
          <a:ext cx="3819525"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For</a:t>
          </a:r>
          <a:r>
            <a:rPr lang="en-US" sz="1100" baseline="0"/>
            <a:t> 2016 use 50% for baseline penetration for new based on DOE forecast interpolation.</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257175</xdr:colOff>
      <xdr:row>38</xdr:row>
      <xdr:rowOff>142875</xdr:rowOff>
    </xdr:to>
    <xdr:pic>
      <xdr:nvPicPr>
        <xdr:cNvPr id="1536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09600" y="323850"/>
          <a:ext cx="5553075" cy="5972175"/>
        </a:xfrm>
        <a:prstGeom prst="rect">
          <a:avLst/>
        </a:prstGeom>
        <a:noFill/>
        <a:ln>
          <a:solidFill>
            <a:schemeClr val="accent1"/>
          </a:solidFill>
        </a:ln>
      </xdr:spPr>
    </xdr:pic>
    <xdr:clientData/>
  </xdr:twoCellAnchor>
  <xdr:twoCellAnchor editAs="oneCell">
    <xdr:from>
      <xdr:col>22</xdr:col>
      <xdr:colOff>0</xdr:colOff>
      <xdr:row>2</xdr:row>
      <xdr:rowOff>0</xdr:rowOff>
    </xdr:from>
    <xdr:to>
      <xdr:col>30</xdr:col>
      <xdr:colOff>428625</xdr:colOff>
      <xdr:row>31</xdr:row>
      <xdr:rowOff>95250</xdr:rowOff>
    </xdr:to>
    <xdr:pic>
      <xdr:nvPicPr>
        <xdr:cNvPr id="15362"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3411200" y="323850"/>
          <a:ext cx="5438775" cy="4791075"/>
        </a:xfrm>
        <a:prstGeom prst="rect">
          <a:avLst/>
        </a:prstGeom>
        <a:noFill/>
      </xdr:spPr>
    </xdr:pic>
    <xdr:clientData/>
  </xdr:twoCellAnchor>
  <xdr:twoCellAnchor editAs="oneCell">
    <xdr:from>
      <xdr:col>11</xdr:col>
      <xdr:colOff>0</xdr:colOff>
      <xdr:row>1</xdr:row>
      <xdr:rowOff>161924</xdr:rowOff>
    </xdr:from>
    <xdr:to>
      <xdr:col>20</xdr:col>
      <xdr:colOff>605595</xdr:colOff>
      <xdr:row>43</xdr:row>
      <xdr:rowOff>57149</xdr:rowOff>
    </xdr:to>
    <xdr:pic>
      <xdr:nvPicPr>
        <xdr:cNvPr id="15363"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6705600" y="323849"/>
          <a:ext cx="6091995" cy="66960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27</xdr:row>
      <xdr:rowOff>9525</xdr:rowOff>
    </xdr:from>
    <xdr:to>
      <xdr:col>7</xdr:col>
      <xdr:colOff>171450</xdr:colOff>
      <xdr:row>39</xdr:row>
      <xdr:rowOff>133349</xdr:rowOff>
    </xdr:to>
    <xdr:pic>
      <xdr:nvPicPr>
        <xdr:cNvPr id="2"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66675" y="5534025"/>
          <a:ext cx="7343775" cy="3276600"/>
        </a:xfrm>
        <a:prstGeom prst="rect">
          <a:avLst/>
        </a:prstGeom>
        <a:noFill/>
        <a:ln w="9525">
          <a:solidFill>
            <a:srgbClr val="000000"/>
          </a:solidFill>
          <a:miter lim="800000"/>
          <a:headEnd/>
          <a:tailEnd/>
        </a:ln>
      </xdr:spPr>
    </xdr:pic>
    <xdr:clientData/>
  </xdr:twoCellAnchor>
  <xdr:twoCellAnchor editAs="oneCell">
    <xdr:from>
      <xdr:col>0</xdr:col>
      <xdr:colOff>485775</xdr:colOff>
      <xdr:row>42</xdr:row>
      <xdr:rowOff>28575</xdr:rowOff>
    </xdr:from>
    <xdr:to>
      <xdr:col>5</xdr:col>
      <xdr:colOff>266700</xdr:colOff>
      <xdr:row>52</xdr:row>
      <xdr:rowOff>104776</xdr:rowOff>
    </xdr:to>
    <xdr:pic>
      <xdr:nvPicPr>
        <xdr:cNvPr id="3"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485775" y="9191625"/>
          <a:ext cx="5514975" cy="2486025"/>
        </a:xfrm>
        <a:prstGeom prst="rect">
          <a:avLst/>
        </a:prstGeom>
        <a:noFill/>
        <a:ln w="9525" algn="ctr">
          <a:solidFill>
            <a:srgbClr val="000000"/>
          </a:solidFill>
          <a:miter lim="800000"/>
          <a:headEnd/>
          <a:tailEnd/>
        </a:ln>
      </xdr:spPr>
    </xdr:pic>
    <xdr:clientData/>
  </xdr:twoCellAnchor>
  <xdr:twoCellAnchor editAs="oneCell">
    <xdr:from>
      <xdr:col>0</xdr:col>
      <xdr:colOff>533400</xdr:colOff>
      <xdr:row>58</xdr:row>
      <xdr:rowOff>19050</xdr:rowOff>
    </xdr:from>
    <xdr:to>
      <xdr:col>6</xdr:col>
      <xdr:colOff>85725</xdr:colOff>
      <xdr:row>85</xdr:row>
      <xdr:rowOff>38100</xdr:rowOff>
    </xdr:to>
    <xdr:pic>
      <xdr:nvPicPr>
        <xdr:cNvPr id="4" name="Picture 10"/>
        <xdr:cNvPicPr>
          <a:picLocks noChangeAspect="1" noChangeArrowheads="1"/>
        </xdr:cNvPicPr>
      </xdr:nvPicPr>
      <xdr:blipFill>
        <a:blip xmlns:r="http://schemas.openxmlformats.org/officeDocument/2006/relationships" r:embed="rId3" cstate="print"/>
        <a:srcRect/>
        <a:stretch>
          <a:fillRect/>
        </a:stretch>
      </xdr:blipFill>
      <xdr:spPr bwMode="auto">
        <a:xfrm>
          <a:off x="533400" y="13535025"/>
          <a:ext cx="5972175" cy="4410075"/>
        </a:xfrm>
        <a:prstGeom prst="rect">
          <a:avLst/>
        </a:prstGeom>
        <a:noFill/>
        <a:ln w="9525" algn="ctr">
          <a:solidFill>
            <a:srgbClr val="000000"/>
          </a:solidFill>
          <a:miter lim="800000"/>
          <a:headEnd/>
          <a:tailEnd/>
        </a:ln>
      </xdr:spPr>
    </xdr:pic>
    <xdr:clientData/>
  </xdr:twoCellAnchor>
  <xdr:twoCellAnchor editAs="oneCell">
    <xdr:from>
      <xdr:col>0</xdr:col>
      <xdr:colOff>381000</xdr:colOff>
      <xdr:row>91</xdr:row>
      <xdr:rowOff>152400</xdr:rowOff>
    </xdr:from>
    <xdr:to>
      <xdr:col>6</xdr:col>
      <xdr:colOff>514350</xdr:colOff>
      <xdr:row>119</xdr:row>
      <xdr:rowOff>28575</xdr:rowOff>
    </xdr:to>
    <xdr:pic>
      <xdr:nvPicPr>
        <xdr:cNvPr id="5" name="Picture 11"/>
        <xdr:cNvPicPr>
          <a:picLocks noChangeAspect="1" noChangeArrowheads="1"/>
        </xdr:cNvPicPr>
      </xdr:nvPicPr>
      <xdr:blipFill>
        <a:blip xmlns:r="http://schemas.openxmlformats.org/officeDocument/2006/relationships" r:embed="rId4" cstate="print"/>
        <a:srcRect/>
        <a:stretch>
          <a:fillRect/>
        </a:stretch>
      </xdr:blipFill>
      <xdr:spPr bwMode="auto">
        <a:xfrm>
          <a:off x="381000" y="19030950"/>
          <a:ext cx="6553200" cy="4410075"/>
        </a:xfrm>
        <a:prstGeom prst="rect">
          <a:avLst/>
        </a:prstGeom>
        <a:noFill/>
        <a:ln w="9525" algn="ctr">
          <a:solidFill>
            <a:srgbClr val="000000"/>
          </a:solidFill>
          <a:miter lim="800000"/>
          <a:headEnd/>
          <a:tailEnd/>
        </a:ln>
      </xdr:spPr>
    </xdr:pic>
    <xdr:clientData/>
  </xdr:twoCellAnchor>
  <xdr:twoCellAnchor editAs="oneCell">
    <xdr:from>
      <xdr:col>0</xdr:col>
      <xdr:colOff>247650</xdr:colOff>
      <xdr:row>121</xdr:row>
      <xdr:rowOff>95250</xdr:rowOff>
    </xdr:from>
    <xdr:to>
      <xdr:col>8</xdr:col>
      <xdr:colOff>428625</xdr:colOff>
      <xdr:row>135</xdr:row>
      <xdr:rowOff>133349</xdr:rowOff>
    </xdr:to>
    <xdr:pic>
      <xdr:nvPicPr>
        <xdr:cNvPr id="6" name="Picture 12"/>
        <xdr:cNvPicPr>
          <a:picLocks noChangeAspect="1" noChangeArrowheads="1"/>
        </xdr:cNvPicPr>
      </xdr:nvPicPr>
      <xdr:blipFill>
        <a:blip xmlns:r="http://schemas.openxmlformats.org/officeDocument/2006/relationships" r:embed="rId5" cstate="print"/>
        <a:srcRect/>
        <a:stretch>
          <a:fillRect/>
        </a:stretch>
      </xdr:blipFill>
      <xdr:spPr bwMode="auto">
        <a:xfrm>
          <a:off x="247650" y="23831550"/>
          <a:ext cx="8029575" cy="2466975"/>
        </a:xfrm>
        <a:prstGeom prst="rect">
          <a:avLst/>
        </a:prstGeom>
        <a:noFill/>
        <a:ln w="9525" algn="ctr">
          <a:solidFill>
            <a:srgbClr val="000000"/>
          </a:solidFill>
          <a:miter lim="800000"/>
          <a:headEnd/>
          <a:tailEnd/>
        </a:ln>
      </xdr:spPr>
    </xdr:pic>
    <xdr:clientData/>
  </xdr:twoCellAnchor>
  <xdr:twoCellAnchor editAs="oneCell">
    <xdr:from>
      <xdr:col>0</xdr:col>
      <xdr:colOff>571500</xdr:colOff>
      <xdr:row>139</xdr:row>
      <xdr:rowOff>0</xdr:rowOff>
    </xdr:from>
    <xdr:to>
      <xdr:col>9</xdr:col>
      <xdr:colOff>28575</xdr:colOff>
      <xdr:row>154</xdr:row>
      <xdr:rowOff>66675</xdr:rowOff>
    </xdr:to>
    <xdr:pic>
      <xdr:nvPicPr>
        <xdr:cNvPr id="7" name="Picture 13"/>
        <xdr:cNvPicPr>
          <a:picLocks noChangeAspect="1" noChangeArrowheads="1"/>
        </xdr:cNvPicPr>
      </xdr:nvPicPr>
      <xdr:blipFill>
        <a:blip xmlns:r="http://schemas.openxmlformats.org/officeDocument/2006/relationships" r:embed="rId6" cstate="print"/>
        <a:srcRect/>
        <a:stretch>
          <a:fillRect/>
        </a:stretch>
      </xdr:blipFill>
      <xdr:spPr bwMode="auto">
        <a:xfrm>
          <a:off x="571500" y="26812875"/>
          <a:ext cx="7915275" cy="2495550"/>
        </a:xfrm>
        <a:prstGeom prst="rect">
          <a:avLst/>
        </a:prstGeom>
        <a:noFill/>
        <a:ln w="9525" algn="ctr">
          <a:solidFill>
            <a:srgbClr val="000000"/>
          </a:solidFill>
          <a:miter lim="800000"/>
          <a:headEnd/>
          <a:tailEnd/>
        </a:ln>
      </xdr:spPr>
    </xdr:pic>
    <xdr:clientData/>
  </xdr:twoCellAnchor>
  <xdr:twoCellAnchor editAs="oneCell">
    <xdr:from>
      <xdr:col>0</xdr:col>
      <xdr:colOff>514350</xdr:colOff>
      <xdr:row>156</xdr:row>
      <xdr:rowOff>19050</xdr:rowOff>
    </xdr:from>
    <xdr:to>
      <xdr:col>8</xdr:col>
      <xdr:colOff>66675</xdr:colOff>
      <xdr:row>189</xdr:row>
      <xdr:rowOff>95251</xdr:rowOff>
    </xdr:to>
    <xdr:pic>
      <xdr:nvPicPr>
        <xdr:cNvPr id="8" name="Picture 14"/>
        <xdr:cNvPicPr>
          <a:picLocks noChangeAspect="1" noChangeArrowheads="1"/>
        </xdr:cNvPicPr>
      </xdr:nvPicPr>
      <xdr:blipFill>
        <a:blip xmlns:r="http://schemas.openxmlformats.org/officeDocument/2006/relationships" r:embed="rId7" cstate="print"/>
        <a:srcRect/>
        <a:stretch>
          <a:fillRect/>
        </a:stretch>
      </xdr:blipFill>
      <xdr:spPr bwMode="auto">
        <a:xfrm>
          <a:off x="514350" y="29584650"/>
          <a:ext cx="7400925" cy="5905500"/>
        </a:xfrm>
        <a:prstGeom prst="rect">
          <a:avLst/>
        </a:prstGeom>
        <a:noFill/>
        <a:ln w="9525" algn="ctr">
          <a:solidFill>
            <a:srgbClr val="000000"/>
          </a:solidFill>
          <a:miter lim="800000"/>
          <a:headEnd/>
          <a:tailEnd/>
        </a:ln>
      </xdr:spPr>
    </xdr:pic>
    <xdr:clientData/>
  </xdr:twoCellAnchor>
  <xdr:twoCellAnchor editAs="oneCell">
    <xdr:from>
      <xdr:col>0</xdr:col>
      <xdr:colOff>828675</xdr:colOff>
      <xdr:row>194</xdr:row>
      <xdr:rowOff>123825</xdr:rowOff>
    </xdr:from>
    <xdr:to>
      <xdr:col>8</xdr:col>
      <xdr:colOff>361950</xdr:colOff>
      <xdr:row>216</xdr:row>
      <xdr:rowOff>123825</xdr:rowOff>
    </xdr:to>
    <xdr:pic>
      <xdr:nvPicPr>
        <xdr:cNvPr id="9" name="Picture 15"/>
        <xdr:cNvPicPr>
          <a:picLocks noChangeAspect="1" noChangeArrowheads="1"/>
        </xdr:cNvPicPr>
      </xdr:nvPicPr>
      <xdr:blipFill>
        <a:blip xmlns:r="http://schemas.openxmlformats.org/officeDocument/2006/relationships" r:embed="rId8" cstate="print"/>
        <a:srcRect/>
        <a:stretch>
          <a:fillRect/>
        </a:stretch>
      </xdr:blipFill>
      <xdr:spPr bwMode="auto">
        <a:xfrm>
          <a:off x="828675" y="36328350"/>
          <a:ext cx="7381875" cy="4362450"/>
        </a:xfrm>
        <a:prstGeom prst="rect">
          <a:avLst/>
        </a:prstGeom>
        <a:noFill/>
        <a:ln w="9525" algn="ctr">
          <a:solidFill>
            <a:srgbClr val="000000"/>
          </a:solidFill>
          <a:miter lim="800000"/>
          <a:headEnd/>
          <a:tailEnd/>
        </a:ln>
      </xdr:spPr>
    </xdr:pic>
    <xdr:clientData/>
  </xdr:twoCellAnchor>
  <xdr:twoCellAnchor editAs="oneCell">
    <xdr:from>
      <xdr:col>0</xdr:col>
      <xdr:colOff>0</xdr:colOff>
      <xdr:row>4</xdr:row>
      <xdr:rowOff>95250</xdr:rowOff>
    </xdr:from>
    <xdr:to>
      <xdr:col>7</xdr:col>
      <xdr:colOff>295275</xdr:colOff>
      <xdr:row>26</xdr:row>
      <xdr:rowOff>72669</xdr:rowOff>
    </xdr:to>
    <xdr:pic>
      <xdr:nvPicPr>
        <xdr:cNvPr id="10" name="Picture 16"/>
        <xdr:cNvPicPr>
          <a:picLocks noChangeAspect="1" noChangeArrowheads="1"/>
        </xdr:cNvPicPr>
      </xdr:nvPicPr>
      <xdr:blipFill>
        <a:blip xmlns:r="http://schemas.openxmlformats.org/officeDocument/2006/relationships" r:embed="rId9" cstate="print"/>
        <a:srcRect/>
        <a:stretch>
          <a:fillRect/>
        </a:stretch>
      </xdr:blipFill>
      <xdr:spPr bwMode="auto">
        <a:xfrm>
          <a:off x="0" y="742950"/>
          <a:ext cx="7534275" cy="4724400"/>
        </a:xfrm>
        <a:prstGeom prst="rect">
          <a:avLst/>
        </a:prstGeom>
        <a:noFill/>
        <a:ln w="9525">
          <a:solidFill>
            <a:srgbClr val="000000"/>
          </a:solid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7P%20ProCost_v3.0.2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_Master_7P.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yan/Google%20Drive/Ryan%20Files/RTF/ProCost/PartsOfProCostThatNeedToBeChangedIfSectorsAreChang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nterior%20Lighting/PNLPricePerfL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as2\Q\CG\Main\Plan%206\Commercial\Coml%20Assess%206P\Final%20Plan%20Files\Commercial%20Forecast%206P.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roData"/>
      <sheetName val="Measure_InputOutput"/>
      <sheetName val="ProCost 7th Plan Inputs"/>
      <sheetName val="ValidationLists"/>
    </sheetNames>
    <sheetDataSet>
      <sheetData sheetId="0">
        <row r="6">
          <cell r="AA6" t="str">
            <v>Electric</v>
          </cell>
          <cell r="AC6" t="str">
            <v>On</v>
          </cell>
          <cell r="AE6" t="str">
            <v>Residential</v>
          </cell>
          <cell r="AI6" t="str">
            <v>x</v>
          </cell>
          <cell r="AK6" t="str">
            <v>Header</v>
          </cell>
        </row>
        <row r="7">
          <cell r="AA7" t="str">
            <v>Gas</v>
          </cell>
          <cell r="AC7" t="str">
            <v>Off</v>
          </cell>
          <cell r="AE7" t="str">
            <v>Commercial</v>
          </cell>
          <cell r="AK7" t="str">
            <v>KEY</v>
          </cell>
        </row>
        <row r="8">
          <cell r="AE8" t="str">
            <v>Industrial</v>
          </cell>
          <cell r="AK8" t="str">
            <v>UtilityPeakHours</v>
          </cell>
        </row>
        <row r="9">
          <cell r="AE9" t="str">
            <v>Agriculture</v>
          </cell>
          <cell r="AK9" t="str">
            <v>PeakT&amp;DCredit</v>
          </cell>
        </row>
        <row r="10">
          <cell r="AE10" t="str">
            <v>Melded</v>
          </cell>
          <cell r="AK10" t="str">
            <v>7P Mid</v>
          </cell>
        </row>
        <row r="11">
          <cell r="AE11" t="str">
            <v>Utility</v>
          </cell>
          <cell r="AK11" t="str">
            <v>7P Low</v>
          </cell>
        </row>
        <row r="12">
          <cell r="AE12" t="str">
            <v>Local Government</v>
          </cell>
          <cell r="AK12" t="str">
            <v>7P High</v>
          </cell>
        </row>
        <row r="13">
          <cell r="AK13" t="str">
            <v>7P Gas</v>
          </cell>
        </row>
        <row r="14">
          <cell r="AK14" t="str">
            <v>6P_Gas_Final</v>
          </cell>
        </row>
        <row r="15">
          <cell r="AK15" t="str">
            <v>6P MidC Final</v>
          </cell>
        </row>
        <row r="16">
          <cell r="AK16" t="str">
            <v>GLSShapes</v>
          </cell>
        </row>
        <row r="17">
          <cell r="AK17" t="str">
            <v>CO2 lbs per kWh .95</v>
          </cell>
        </row>
        <row r="18">
          <cell r="AK18" t="str">
            <v>CO2 lbs per therm</v>
          </cell>
        </row>
        <row r="19">
          <cell r="AK19" t="str">
            <v>Zero Dollars per ton CO2</v>
          </cell>
        </row>
        <row r="20">
          <cell r="AK20" t="str">
            <v>LineLossShapes</v>
          </cell>
        </row>
        <row r="21">
          <cell r="AK21" t="str">
            <v>Annual &amp; Monthly Load Factors</v>
          </cell>
        </row>
        <row r="22">
          <cell r="AK22" t="str">
            <v>LoadShapeMap</v>
          </cell>
        </row>
        <row r="23">
          <cell r="AK23" t="str">
            <v>Load &amp; Coincident Factors</v>
          </cell>
        </row>
        <row r="24">
          <cell r="AK24" t="str">
            <v>Calendars</v>
          </cell>
        </row>
        <row r="25">
          <cell r="AK25" t="str">
            <v>SysLoad</v>
          </cell>
        </row>
        <row r="26">
          <cell r="AK26" t="str">
            <v>EE Finace ProCost</v>
          </cell>
        </row>
        <row r="27">
          <cell r="AK27" t="str">
            <v>Log</v>
          </cell>
        </row>
        <row r="28">
          <cell r="AK28" t="str">
            <v>Sheet1</v>
          </cell>
        </row>
      </sheetData>
      <sheetData sheetId="1"/>
      <sheetData sheetId="2">
        <row r="1">
          <cell r="A1">
            <v>0</v>
          </cell>
          <cell r="B1">
            <v>0</v>
          </cell>
          <cell r="C1">
            <v>0</v>
          </cell>
          <cell r="D1">
            <v>0</v>
          </cell>
          <cell r="E1">
            <v>0</v>
          </cell>
          <cell r="F1">
            <v>0</v>
          </cell>
          <cell r="G1" t="str">
            <v>Version D4</v>
          </cell>
          <cell r="H1">
            <v>41938</v>
          </cell>
          <cell r="I1" t="str">
            <v>Revised Sponsor Defintions back to 6P  (Retail Elec &amp; Nat Gas)</v>
          </cell>
          <cell r="J1">
            <v>0</v>
          </cell>
          <cell r="K1">
            <v>0</v>
          </cell>
          <cell r="L1">
            <v>11</v>
          </cell>
        </row>
        <row r="2">
          <cell r="A2" t="str">
            <v>Residential Sector ProCost Input Assumptions</v>
          </cell>
          <cell r="B2">
            <v>0.38074762904313819</v>
          </cell>
          <cell r="C2">
            <v>0</v>
          </cell>
          <cell r="D2">
            <v>0</v>
          </cell>
          <cell r="E2">
            <v>0</v>
          </cell>
          <cell r="F2">
            <v>0</v>
          </cell>
          <cell r="G2">
            <v>0</v>
          </cell>
          <cell r="H2">
            <v>0</v>
          </cell>
          <cell r="I2">
            <v>0</v>
          </cell>
          <cell r="J2">
            <v>0</v>
          </cell>
          <cell r="K2">
            <v>0</v>
          </cell>
        </row>
        <row r="3">
          <cell r="A3" t="str">
            <v>Sponsor Parameters</v>
          </cell>
          <cell r="B3" t="str">
            <v>Customer</v>
          </cell>
          <cell r="C3" t="str">
            <v>Wholesale / Bonneville</v>
          </cell>
          <cell r="D3" t="str">
            <v>Retail Elec</v>
          </cell>
          <cell r="E3" t="str">
            <v>Nat Gas</v>
          </cell>
          <cell r="F3">
            <v>0</v>
          </cell>
          <cell r="G3">
            <v>0</v>
          </cell>
          <cell r="H3">
            <v>0</v>
          </cell>
          <cell r="I3">
            <v>0</v>
          </cell>
          <cell r="J3" t="str">
            <v>Program Parameters</v>
          </cell>
          <cell r="K3" t="str">
            <v>Program</v>
          </cell>
        </row>
        <row r="4">
          <cell r="A4" t="str">
            <v>Real After-Tax Cost of Capital</v>
          </cell>
          <cell r="B4">
            <v>4.3096045197740109E-2</v>
          </cell>
          <cell r="C4">
            <v>4.387844424080023E-2</v>
          </cell>
          <cell r="D4">
            <v>5.3289007766645871E-2</v>
          </cell>
          <cell r="E4">
            <v>5.447903102274565E-2</v>
          </cell>
          <cell r="F4">
            <v>0</v>
          </cell>
          <cell r="G4">
            <v>0</v>
          </cell>
          <cell r="H4">
            <v>0</v>
          </cell>
          <cell r="I4">
            <v>0</v>
          </cell>
          <cell r="J4" t="str">
            <v>Program Life (yrs)</v>
          </cell>
          <cell r="K4">
            <v>20</v>
          </cell>
        </row>
        <row r="5">
          <cell r="A5" t="str">
            <v>Financial Life (years)</v>
          </cell>
          <cell r="B5">
            <v>12</v>
          </cell>
          <cell r="C5">
            <v>12</v>
          </cell>
          <cell r="D5">
            <v>1</v>
          </cell>
          <cell r="E5">
            <v>1</v>
          </cell>
          <cell r="F5">
            <v>0</v>
          </cell>
          <cell r="G5">
            <v>0</v>
          </cell>
          <cell r="H5">
            <v>0</v>
          </cell>
          <cell r="I5">
            <v>0</v>
          </cell>
          <cell r="J5" t="str">
            <v>Program Start Date</v>
          </cell>
          <cell r="K5">
            <v>2016</v>
          </cell>
        </row>
        <row r="6">
          <cell r="A6" t="str">
            <v xml:space="preserve">Sponsor Share of Initial Capital Cost </v>
          </cell>
          <cell r="B6">
            <v>0.35</v>
          </cell>
          <cell r="C6">
            <v>0.19500000000000001</v>
          </cell>
          <cell r="D6">
            <v>4.8749999999999988E-2</v>
          </cell>
          <cell r="E6">
            <v>0.40625</v>
          </cell>
          <cell r="F6">
            <v>0</v>
          </cell>
          <cell r="G6">
            <v>0</v>
          </cell>
          <cell r="H6">
            <v>0</v>
          </cell>
          <cell r="I6">
            <v>0</v>
          </cell>
          <cell r="J6" t="str">
            <v>Present Value Time Zero</v>
          </cell>
          <cell r="K6">
            <v>2016</v>
          </cell>
        </row>
        <row r="7">
          <cell r="A7" t="str">
            <v>Sponsor Share of Annual O&amp;M</v>
          </cell>
          <cell r="B7">
            <v>1</v>
          </cell>
          <cell r="C7">
            <v>0</v>
          </cell>
          <cell r="D7">
            <v>0</v>
          </cell>
          <cell r="E7">
            <v>0</v>
          </cell>
          <cell r="F7">
            <v>0</v>
          </cell>
          <cell r="G7">
            <v>0</v>
          </cell>
          <cell r="H7">
            <v>0</v>
          </cell>
          <cell r="I7">
            <v>0</v>
          </cell>
          <cell r="J7" t="str">
            <v>Input Cost Reference Year</v>
          </cell>
          <cell r="K7">
            <v>2012</v>
          </cell>
        </row>
        <row r="8">
          <cell r="A8" t="str">
            <v>Sponsor Share of Periodic Replacement Cost</v>
          </cell>
          <cell r="B8">
            <v>1</v>
          </cell>
          <cell r="C8">
            <v>0</v>
          </cell>
          <cell r="D8">
            <v>0</v>
          </cell>
          <cell r="E8">
            <v>0</v>
          </cell>
          <cell r="F8">
            <v>0</v>
          </cell>
          <cell r="G8">
            <v>0</v>
          </cell>
          <cell r="H8">
            <v>0</v>
          </cell>
          <cell r="I8">
            <v>0</v>
          </cell>
          <cell r="J8" t="str">
            <v>Real Discount Rate</v>
          </cell>
          <cell r="K8">
            <v>0.04</v>
          </cell>
        </row>
        <row r="9">
          <cell r="A9" t="str">
            <v>Sponsor Share of Administrative Cost</v>
          </cell>
          <cell r="B9">
            <v>0</v>
          </cell>
          <cell r="C9">
            <v>0.3</v>
          </cell>
          <cell r="D9">
            <v>7.4999999999999983E-2</v>
          </cell>
          <cell r="E9">
            <v>0.625</v>
          </cell>
          <cell r="F9">
            <v>0</v>
          </cell>
          <cell r="G9">
            <v>0</v>
          </cell>
          <cell r="H9">
            <v>0</v>
          </cell>
          <cell r="I9">
            <v>0</v>
          </cell>
          <cell r="J9" t="str">
            <v>Capital Real Escalation Rate</v>
          </cell>
          <cell r="K9">
            <v>0</v>
          </cell>
        </row>
        <row r="10">
          <cell r="A10" t="str">
            <v>Last Year of Non-Customer O&amp;M &amp; Period Replacement</v>
          </cell>
          <cell r="B10">
            <v>0</v>
          </cell>
          <cell r="C10">
            <v>20</v>
          </cell>
          <cell r="D10">
            <v>0</v>
          </cell>
          <cell r="E10">
            <v>0</v>
          </cell>
          <cell r="F10">
            <v>0</v>
          </cell>
          <cell r="G10">
            <v>0</v>
          </cell>
          <cell r="H10">
            <v>0</v>
          </cell>
          <cell r="I10">
            <v>0</v>
          </cell>
          <cell r="J10" t="str">
            <v>Admin Cost (As % of Initial Capital Cost)</v>
          </cell>
          <cell r="K10">
            <v>0.2</v>
          </cell>
        </row>
        <row r="11">
          <cell r="A11">
            <v>0</v>
          </cell>
          <cell r="B11">
            <v>0</v>
          </cell>
          <cell r="C11">
            <v>0</v>
          </cell>
          <cell r="D11">
            <v>0</v>
          </cell>
          <cell r="E11">
            <v>0</v>
          </cell>
          <cell r="F11">
            <v>0</v>
          </cell>
          <cell r="G11">
            <v>0</v>
          </cell>
          <cell r="H11">
            <v>0</v>
          </cell>
          <cell r="I11">
            <v>0</v>
          </cell>
          <cell r="J11" t="str">
            <v>Regional Act Conservation Credit (%)</v>
          </cell>
          <cell r="K11">
            <v>0.1</v>
          </cell>
        </row>
        <row r="12">
          <cell r="A12" t="str">
            <v>Commercial Sector ProCost Assumptions</v>
          </cell>
          <cell r="B12">
            <v>0.30962211954020102</v>
          </cell>
          <cell r="C12">
            <v>0</v>
          </cell>
          <cell r="D12">
            <v>0</v>
          </cell>
          <cell r="E12">
            <v>0</v>
          </cell>
          <cell r="F12">
            <v>0</v>
          </cell>
          <cell r="G12">
            <v>0</v>
          </cell>
          <cell r="H12">
            <v>0</v>
          </cell>
          <cell r="I12">
            <v>0</v>
          </cell>
          <cell r="J12" t="str">
            <v>Report Annual Carbon Saved for Year</v>
          </cell>
          <cell r="K12">
            <v>2018</v>
          </cell>
        </row>
        <row r="13">
          <cell r="A13" t="str">
            <v>Sponsor Parameters</v>
          </cell>
          <cell r="B13" t="str">
            <v>Customer</v>
          </cell>
          <cell r="C13" t="str">
            <v>Wholesale / Bonneville</v>
          </cell>
          <cell r="D13" t="str">
            <v>Retail Elec</v>
          </cell>
          <cell r="E13" t="str">
            <v>Nat Gas</v>
          </cell>
          <cell r="F13">
            <v>0</v>
          </cell>
          <cell r="G13">
            <v>0</v>
          </cell>
          <cell r="H13">
            <v>0</v>
          </cell>
          <cell r="I13">
            <v>0</v>
          </cell>
          <cell r="J13">
            <v>0</v>
          </cell>
          <cell r="K13">
            <v>0</v>
          </cell>
        </row>
        <row r="14">
          <cell r="A14" t="str">
            <v>Real After-Tax Cost of Capital</v>
          </cell>
          <cell r="B14">
            <v>6.8012888465852586E-2</v>
          </cell>
          <cell r="C14">
            <v>4.387844424080023E-2</v>
          </cell>
          <cell r="D14">
            <v>5.3289007766645871E-2</v>
          </cell>
          <cell r="E14">
            <v>5.447903102274565E-2</v>
          </cell>
          <cell r="F14">
            <v>0</v>
          </cell>
          <cell r="G14">
            <v>0</v>
          </cell>
          <cell r="H14">
            <v>0</v>
          </cell>
          <cell r="I14">
            <v>0</v>
          </cell>
          <cell r="J14" t="str">
            <v>Utility System Parameters</v>
          </cell>
          <cell r="K14" t="str">
            <v>Electric</v>
          </cell>
          <cell r="L14" t="str">
            <v>Gas</v>
          </cell>
        </row>
        <row r="15">
          <cell r="A15" t="str">
            <v>Financial Life (years)</v>
          </cell>
          <cell r="B15">
            <v>12</v>
          </cell>
          <cell r="C15">
            <v>12</v>
          </cell>
          <cell r="D15">
            <v>1</v>
          </cell>
          <cell r="E15">
            <v>1</v>
          </cell>
          <cell r="F15">
            <v>0</v>
          </cell>
          <cell r="G15">
            <v>0</v>
          </cell>
          <cell r="H15">
            <v>0</v>
          </cell>
          <cell r="I15">
            <v>0</v>
          </cell>
          <cell r="J15" t="str">
            <v>Bulk System T&amp;D Loss Factor</v>
          </cell>
          <cell r="K15">
            <v>0.03</v>
          </cell>
          <cell r="L15" t="str">
            <v>Flat1.0</v>
          </cell>
        </row>
        <row r="16">
          <cell r="A16" t="str">
            <v xml:space="preserve">Sponsor Share of Initial Capital Cost </v>
          </cell>
          <cell r="B16">
            <v>0.35</v>
          </cell>
          <cell r="C16">
            <v>0.19500000000000001</v>
          </cell>
          <cell r="D16">
            <v>4.8749999999999988E-2</v>
          </cell>
          <cell r="E16">
            <v>0.40625</v>
          </cell>
          <cell r="F16">
            <v>0</v>
          </cell>
          <cell r="G16">
            <v>0</v>
          </cell>
          <cell r="H16">
            <v>0</v>
          </cell>
          <cell r="I16">
            <v>0</v>
          </cell>
          <cell r="J16" t="str">
            <v>Bulk System T&amp;D Credit ($/kw-yr)($/dailytherm-yr)</v>
          </cell>
          <cell r="K16">
            <v>26</v>
          </cell>
          <cell r="L16">
            <v>0</v>
          </cell>
        </row>
        <row r="17">
          <cell r="A17" t="str">
            <v>Sponsor Share of Annual O&amp;M</v>
          </cell>
          <cell r="B17">
            <v>1</v>
          </cell>
          <cell r="C17">
            <v>0</v>
          </cell>
          <cell r="D17">
            <v>0</v>
          </cell>
          <cell r="E17">
            <v>0</v>
          </cell>
          <cell r="F17">
            <v>0</v>
          </cell>
          <cell r="G17">
            <v>0</v>
          </cell>
          <cell r="H17">
            <v>0</v>
          </cell>
          <cell r="I17">
            <v>0</v>
          </cell>
          <cell r="J17" t="str">
            <v>Bulk System T&amp;D I2R Loss Component (%)</v>
          </cell>
          <cell r="K17">
            <v>0.9</v>
          </cell>
          <cell r="L17" t="str">
            <v>N/A</v>
          </cell>
        </row>
        <row r="18">
          <cell r="A18" t="str">
            <v>Sponsor Share of Periodic Replacement Cost</v>
          </cell>
          <cell r="B18">
            <v>1</v>
          </cell>
          <cell r="C18">
            <v>0</v>
          </cell>
          <cell r="D18">
            <v>0</v>
          </cell>
          <cell r="E18">
            <v>0</v>
          </cell>
          <cell r="F18">
            <v>0</v>
          </cell>
          <cell r="G18">
            <v>0</v>
          </cell>
          <cell r="H18">
            <v>0</v>
          </cell>
          <cell r="I18">
            <v>0</v>
          </cell>
          <cell r="J18" t="str">
            <v>Local System Dist Loss Factor</v>
          </cell>
          <cell r="K18">
            <v>5.5E-2</v>
          </cell>
          <cell r="L18" t="str">
            <v>NoLoss</v>
          </cell>
        </row>
        <row r="19">
          <cell r="A19" t="str">
            <v>Sponsor Share of Admin Cost</v>
          </cell>
          <cell r="B19">
            <v>0</v>
          </cell>
          <cell r="C19">
            <v>0.3</v>
          </cell>
          <cell r="D19">
            <v>7.4999999999999983E-2</v>
          </cell>
          <cell r="E19">
            <v>0.625</v>
          </cell>
          <cell r="F19">
            <v>0</v>
          </cell>
          <cell r="G19">
            <v>0</v>
          </cell>
          <cell r="H19">
            <v>0</v>
          </cell>
          <cell r="I19">
            <v>0</v>
          </cell>
          <cell r="J19" t="str">
            <v>Local System Dist Credit ($/kw-yr)($/dailytherm-yr)</v>
          </cell>
          <cell r="K19">
            <v>31</v>
          </cell>
          <cell r="L19">
            <v>0</v>
          </cell>
        </row>
        <row r="20">
          <cell r="A20" t="str">
            <v>Last Year of Non-Customer O&amp;M &amp; Period Replacement</v>
          </cell>
          <cell r="B20">
            <v>0</v>
          </cell>
          <cell r="C20">
            <v>20</v>
          </cell>
          <cell r="D20">
            <v>0</v>
          </cell>
          <cell r="E20">
            <v>0</v>
          </cell>
          <cell r="F20">
            <v>0</v>
          </cell>
          <cell r="G20">
            <v>0</v>
          </cell>
          <cell r="H20">
            <v>0</v>
          </cell>
          <cell r="I20">
            <v>0</v>
          </cell>
          <cell r="J20" t="str">
            <v>Local System Dist I2R Loss Component (%)</v>
          </cell>
          <cell r="K20">
            <v>0.7</v>
          </cell>
          <cell r="L20" t="str">
            <v>N/A</v>
          </cell>
        </row>
        <row r="21">
          <cell r="A21">
            <v>0</v>
          </cell>
          <cell r="B21">
            <v>0</v>
          </cell>
          <cell r="C21">
            <v>0</v>
          </cell>
          <cell r="D21">
            <v>0</v>
          </cell>
          <cell r="E21">
            <v>0</v>
          </cell>
          <cell r="F21">
            <v>0</v>
          </cell>
          <cell r="G21">
            <v>0</v>
          </cell>
          <cell r="H21">
            <v>0</v>
          </cell>
          <cell r="I21">
            <v>0</v>
          </cell>
          <cell r="J21" t="str">
            <v>Risk-Mitigation Credit (mills/kWh)(mills/therm) - Retro.</v>
          </cell>
          <cell r="K21">
            <v>0</v>
          </cell>
          <cell r="L21">
            <v>0</v>
          </cell>
        </row>
        <row r="22">
          <cell r="A22" t="str">
            <v>Industrial Sector ProCost Assumptions</v>
          </cell>
          <cell r="B22">
            <v>0.26993493389498663</v>
          </cell>
          <cell r="C22">
            <v>0</v>
          </cell>
          <cell r="D22">
            <v>0</v>
          </cell>
          <cell r="E22">
            <v>0</v>
          </cell>
          <cell r="F22">
            <v>0</v>
          </cell>
          <cell r="G22">
            <v>0</v>
          </cell>
          <cell r="H22">
            <v>0</v>
          </cell>
          <cell r="I22">
            <v>0</v>
          </cell>
          <cell r="J22" t="str">
            <v>Risk-Mitigation Credit (mills/kWh)(mills/therm) - Lost Op.</v>
          </cell>
          <cell r="K22">
            <v>0</v>
          </cell>
          <cell r="L22">
            <v>0</v>
          </cell>
        </row>
        <row r="23">
          <cell r="A23" t="str">
            <v>Sponsor Parameters</v>
          </cell>
          <cell r="B23" t="str">
            <v>Customer</v>
          </cell>
          <cell r="C23" t="str">
            <v>Wholesale / Bonneville</v>
          </cell>
          <cell r="D23" t="str">
            <v>Retail Elec</v>
          </cell>
          <cell r="E23" t="str">
            <v>Nat Gas</v>
          </cell>
          <cell r="F23">
            <v>0</v>
          </cell>
          <cell r="G23">
            <v>0</v>
          </cell>
          <cell r="H23">
            <v>0</v>
          </cell>
          <cell r="I23">
            <v>0</v>
          </cell>
          <cell r="J23">
            <v>0</v>
          </cell>
          <cell r="K23">
            <v>0</v>
          </cell>
        </row>
        <row r="24">
          <cell r="A24" t="str">
            <v>Real After-Tax Cost of Capital</v>
          </cell>
          <cell r="B24">
            <v>8.4741335471886392E-2</v>
          </cell>
          <cell r="C24">
            <v>4.387844424080023E-2</v>
          </cell>
          <cell r="D24">
            <v>5.3289007766645871E-2</v>
          </cell>
          <cell r="E24">
            <v>5.447903102274565E-2</v>
          </cell>
          <cell r="F24">
            <v>0</v>
          </cell>
          <cell r="G24">
            <v>0</v>
          </cell>
          <cell r="H24">
            <v>0</v>
          </cell>
          <cell r="I24">
            <v>0</v>
          </cell>
          <cell r="J24">
            <v>0</v>
          </cell>
          <cell r="K24">
            <v>0</v>
          </cell>
        </row>
        <row r="25">
          <cell r="A25" t="str">
            <v>Financial Life (years)</v>
          </cell>
          <cell r="B25">
            <v>12</v>
          </cell>
          <cell r="C25">
            <v>12</v>
          </cell>
          <cell r="D25">
            <v>1</v>
          </cell>
          <cell r="E25">
            <v>1</v>
          </cell>
          <cell r="F25">
            <v>0</v>
          </cell>
          <cell r="G25">
            <v>0</v>
          </cell>
          <cell r="H25">
            <v>0</v>
          </cell>
          <cell r="I25">
            <v>0</v>
          </cell>
          <cell r="J25">
            <v>0</v>
          </cell>
          <cell r="K25">
            <v>0</v>
          </cell>
        </row>
        <row r="26">
          <cell r="A26" t="str">
            <v xml:space="preserve">Sponsor Share of Initial Capital Cost </v>
          </cell>
          <cell r="B26">
            <v>0.35</v>
          </cell>
          <cell r="C26">
            <v>0.19500000000000001</v>
          </cell>
          <cell r="D26">
            <v>4.8749999999999988E-2</v>
          </cell>
          <cell r="E26">
            <v>0.40625</v>
          </cell>
          <cell r="F26">
            <v>0</v>
          </cell>
          <cell r="G26">
            <v>0</v>
          </cell>
          <cell r="H26">
            <v>0</v>
          </cell>
          <cell r="I26">
            <v>0</v>
          </cell>
          <cell r="J26">
            <v>0</v>
          </cell>
          <cell r="K26">
            <v>0</v>
          </cell>
        </row>
        <row r="27">
          <cell r="A27" t="str">
            <v>Sponsor Share of Annual O&amp;M</v>
          </cell>
          <cell r="B27">
            <v>1</v>
          </cell>
          <cell r="C27">
            <v>0</v>
          </cell>
          <cell r="D27">
            <v>0</v>
          </cell>
          <cell r="E27">
            <v>0</v>
          </cell>
          <cell r="F27">
            <v>0</v>
          </cell>
          <cell r="G27">
            <v>0</v>
          </cell>
          <cell r="H27">
            <v>0</v>
          </cell>
          <cell r="I27">
            <v>0</v>
          </cell>
          <cell r="J27">
            <v>0</v>
          </cell>
          <cell r="K27">
            <v>0</v>
          </cell>
        </row>
        <row r="28">
          <cell r="A28" t="str">
            <v>Sponsor Share of Periodic Replacement Cost</v>
          </cell>
          <cell r="B28">
            <v>1</v>
          </cell>
          <cell r="C28">
            <v>0</v>
          </cell>
          <cell r="D28">
            <v>0</v>
          </cell>
          <cell r="E28">
            <v>0</v>
          </cell>
          <cell r="F28">
            <v>0</v>
          </cell>
          <cell r="G28">
            <v>0</v>
          </cell>
          <cell r="H28">
            <v>0</v>
          </cell>
          <cell r="I28">
            <v>0</v>
          </cell>
          <cell r="J28">
            <v>0</v>
          </cell>
          <cell r="K28">
            <v>0</v>
          </cell>
        </row>
        <row r="29">
          <cell r="A29" t="str">
            <v>Sponsor Share of Admin Cost</v>
          </cell>
          <cell r="B29">
            <v>0</v>
          </cell>
          <cell r="C29">
            <v>0.3</v>
          </cell>
          <cell r="D29">
            <v>7.4999999999999983E-2</v>
          </cell>
          <cell r="E29">
            <v>0.625</v>
          </cell>
          <cell r="F29">
            <v>0</v>
          </cell>
          <cell r="G29">
            <v>0</v>
          </cell>
          <cell r="H29">
            <v>0</v>
          </cell>
          <cell r="I29">
            <v>0</v>
          </cell>
          <cell r="J29">
            <v>0</v>
          </cell>
          <cell r="K29">
            <v>0</v>
          </cell>
        </row>
        <row r="30">
          <cell r="A30" t="str">
            <v>Last Year of Non-Customer O&amp;M &amp; Period Replacement</v>
          </cell>
          <cell r="B30">
            <v>0</v>
          </cell>
          <cell r="C30">
            <v>20</v>
          </cell>
          <cell r="D30">
            <v>0</v>
          </cell>
          <cell r="E30">
            <v>0</v>
          </cell>
          <cell r="F30">
            <v>0</v>
          </cell>
          <cell r="G30">
            <v>0</v>
          </cell>
          <cell r="H30">
            <v>0</v>
          </cell>
          <cell r="I30">
            <v>0</v>
          </cell>
          <cell r="J30" t="str">
            <v>Price Deflator Year 2006$ to Year 2012$</v>
          </cell>
          <cell r="K30">
            <v>0</v>
          </cell>
        </row>
        <row r="31">
          <cell r="A31">
            <v>0</v>
          </cell>
          <cell r="B31">
            <v>0</v>
          </cell>
          <cell r="C31">
            <v>0</v>
          </cell>
          <cell r="D31">
            <v>0</v>
          </cell>
          <cell r="E31">
            <v>0</v>
          </cell>
          <cell r="F31">
            <v>0</v>
          </cell>
          <cell r="G31">
            <v>0</v>
          </cell>
          <cell r="H31">
            <v>0</v>
          </cell>
          <cell r="I31">
            <v>0</v>
          </cell>
          <cell r="J31">
            <v>1.1074047883301905</v>
          </cell>
          <cell r="K31">
            <v>0</v>
          </cell>
        </row>
        <row r="32">
          <cell r="A32" t="str">
            <v>Agricultural Sector ProCost Assumptions</v>
          </cell>
          <cell r="B32">
            <v>3.9695317521674212E-2</v>
          </cell>
          <cell r="C32">
            <v>0</v>
          </cell>
          <cell r="D32">
            <v>0</v>
          </cell>
          <cell r="E32">
            <v>0</v>
          </cell>
          <cell r="F32">
            <v>0</v>
          </cell>
          <cell r="G32">
            <v>0</v>
          </cell>
          <cell r="H32">
            <v>0</v>
          </cell>
          <cell r="I32">
            <v>0</v>
          </cell>
          <cell r="J32">
            <v>0</v>
          </cell>
          <cell r="K32">
            <v>0</v>
          </cell>
        </row>
        <row r="33">
          <cell r="A33" t="str">
            <v>Sponsor Parameters</v>
          </cell>
          <cell r="B33" t="str">
            <v>Customer</v>
          </cell>
          <cell r="C33" t="str">
            <v>Wholesale / Bonneville</v>
          </cell>
          <cell r="D33" t="str">
            <v>Retail Elec</v>
          </cell>
          <cell r="E33" t="str">
            <v>Nat Gas</v>
          </cell>
          <cell r="F33">
            <v>0</v>
          </cell>
          <cell r="G33">
            <v>0</v>
          </cell>
          <cell r="H33">
            <v>0</v>
          </cell>
          <cell r="I33">
            <v>0</v>
          </cell>
          <cell r="J33" t="str">
            <v>MC_AND_LOADSHAPE_7P.xls worksheet tab names</v>
          </cell>
          <cell r="K33">
            <v>0</v>
          </cell>
        </row>
        <row r="34">
          <cell r="A34" t="str">
            <v>Real After-Tax Cost of Capital</v>
          </cell>
          <cell r="B34">
            <v>6.7943795888335753E-2</v>
          </cell>
          <cell r="C34">
            <v>4.387844424080023E-2</v>
          </cell>
          <cell r="D34">
            <v>5.3289007766645871E-2</v>
          </cell>
          <cell r="E34">
            <v>5.447903102274565E-2</v>
          </cell>
          <cell r="F34">
            <v>0</v>
          </cell>
          <cell r="G34">
            <v>0</v>
          </cell>
          <cell r="H34">
            <v>0</v>
          </cell>
          <cell r="I34">
            <v>0</v>
          </cell>
          <cell r="J34" t="str">
            <v>7P Mid</v>
          </cell>
          <cell r="K34">
            <v>0</v>
          </cell>
        </row>
        <row r="35">
          <cell r="A35" t="str">
            <v>Financial Life (years)</v>
          </cell>
          <cell r="B35">
            <v>12</v>
          </cell>
          <cell r="C35">
            <v>12</v>
          </cell>
          <cell r="D35">
            <v>1</v>
          </cell>
          <cell r="E35">
            <v>1</v>
          </cell>
          <cell r="F35">
            <v>0</v>
          </cell>
          <cell r="G35">
            <v>0</v>
          </cell>
          <cell r="H35">
            <v>0</v>
          </cell>
          <cell r="I35">
            <v>0</v>
          </cell>
          <cell r="J35" t="str">
            <v>GLSShapes</v>
          </cell>
          <cell r="K35">
            <v>0</v>
          </cell>
        </row>
        <row r="36">
          <cell r="A36" t="str">
            <v xml:space="preserve">Sponsor Share of Initial Capital Cost </v>
          </cell>
          <cell r="B36">
            <v>0.35</v>
          </cell>
          <cell r="C36">
            <v>0.19500000000000001</v>
          </cell>
          <cell r="D36">
            <v>4.8749999999999988E-2</v>
          </cell>
          <cell r="E36">
            <v>0.40625</v>
          </cell>
          <cell r="F36">
            <v>0</v>
          </cell>
          <cell r="G36">
            <v>0</v>
          </cell>
          <cell r="H36">
            <v>0</v>
          </cell>
          <cell r="I36">
            <v>0</v>
          </cell>
          <cell r="J36" t="str">
            <v>7P Gas</v>
          </cell>
          <cell r="K36">
            <v>0</v>
          </cell>
        </row>
        <row r="37">
          <cell r="A37" t="str">
            <v>Sponsor Share of Annual O&amp;M</v>
          </cell>
          <cell r="B37">
            <v>1</v>
          </cell>
          <cell r="C37">
            <v>0</v>
          </cell>
          <cell r="D37">
            <v>0</v>
          </cell>
          <cell r="E37">
            <v>0</v>
          </cell>
          <cell r="F37">
            <v>0</v>
          </cell>
          <cell r="G37">
            <v>0</v>
          </cell>
          <cell r="H37">
            <v>0</v>
          </cell>
          <cell r="I37">
            <v>0</v>
          </cell>
          <cell r="J37" t="str">
            <v>GLSShapes</v>
          </cell>
          <cell r="K37">
            <v>0</v>
          </cell>
        </row>
        <row r="38">
          <cell r="A38" t="str">
            <v>Sponsor Share of Periodic Replacement Cost</v>
          </cell>
          <cell r="B38">
            <v>1</v>
          </cell>
          <cell r="C38">
            <v>0</v>
          </cell>
          <cell r="D38">
            <v>0</v>
          </cell>
          <cell r="E38">
            <v>0</v>
          </cell>
          <cell r="F38">
            <v>0</v>
          </cell>
          <cell r="G38">
            <v>0</v>
          </cell>
          <cell r="H38">
            <v>0</v>
          </cell>
          <cell r="I38">
            <v>0</v>
          </cell>
          <cell r="J38" t="str">
            <v>CO2 lbs per kWh .95</v>
          </cell>
          <cell r="K38">
            <v>0</v>
          </cell>
        </row>
        <row r="39">
          <cell r="A39" t="str">
            <v>Sponsor Share of Admin Cost</v>
          </cell>
          <cell r="B39">
            <v>0</v>
          </cell>
          <cell r="C39">
            <v>0.3</v>
          </cell>
          <cell r="D39">
            <v>7.4999999999999983E-2</v>
          </cell>
          <cell r="E39">
            <v>0.625</v>
          </cell>
          <cell r="F39">
            <v>0</v>
          </cell>
          <cell r="G39">
            <v>0</v>
          </cell>
          <cell r="H39">
            <v>0</v>
          </cell>
          <cell r="I39">
            <v>0</v>
          </cell>
          <cell r="J39" t="str">
            <v>CO2 lbs per therm</v>
          </cell>
          <cell r="K39">
            <v>0</v>
          </cell>
        </row>
        <row r="40">
          <cell r="A40" t="str">
            <v>Last Year of Non-Customer O&amp;M &amp; Period Replacement</v>
          </cell>
          <cell r="B40">
            <v>0</v>
          </cell>
          <cell r="C40">
            <v>20</v>
          </cell>
          <cell r="D40">
            <v>0</v>
          </cell>
          <cell r="E40">
            <v>0</v>
          </cell>
          <cell r="F40">
            <v>0</v>
          </cell>
          <cell r="G40">
            <v>0</v>
          </cell>
          <cell r="H40">
            <v>0</v>
          </cell>
          <cell r="I40">
            <v>0</v>
          </cell>
          <cell r="J40" t="str">
            <v>Zero Dollars per ton CO2</v>
          </cell>
          <cell r="K40">
            <v>0</v>
          </cell>
        </row>
        <row r="41">
          <cell r="A41">
            <v>0</v>
          </cell>
          <cell r="B41">
            <v>0</v>
          </cell>
          <cell r="C41">
            <v>0</v>
          </cell>
          <cell r="D41">
            <v>0</v>
          </cell>
          <cell r="E41">
            <v>0</v>
          </cell>
          <cell r="F41">
            <v>0</v>
          </cell>
          <cell r="G41">
            <v>0</v>
          </cell>
          <cell r="H41">
            <v>0</v>
          </cell>
          <cell r="I41">
            <v>0</v>
          </cell>
          <cell r="J41" t="str">
            <v>LineLossShapes</v>
          </cell>
          <cell r="K41">
            <v>0</v>
          </cell>
        </row>
        <row r="42">
          <cell r="A42" t="str">
            <v>Melded ProCost Assumptions (weighted by savings potential)</v>
          </cell>
          <cell r="B42">
            <v>0</v>
          </cell>
          <cell r="C42">
            <v>0</v>
          </cell>
          <cell r="D42">
            <v>0</v>
          </cell>
          <cell r="E42">
            <v>0</v>
          </cell>
          <cell r="F42">
            <v>0</v>
          </cell>
          <cell r="G42">
            <v>0</v>
          </cell>
          <cell r="H42">
            <v>0</v>
          </cell>
          <cell r="I42">
            <v>0</v>
          </cell>
          <cell r="J42">
            <v>0</v>
          </cell>
          <cell r="K42">
            <v>0</v>
          </cell>
        </row>
        <row r="43">
          <cell r="A43" t="str">
            <v>Sponsor Parameters</v>
          </cell>
          <cell r="B43" t="str">
            <v>Customer</v>
          </cell>
          <cell r="C43" t="str">
            <v>Wholesale / Bonneville</v>
          </cell>
          <cell r="D43" t="str">
            <v>Retail Elec</v>
          </cell>
          <cell r="E43" t="str">
            <v>Nat Gas</v>
          </cell>
          <cell r="F43">
            <v>0</v>
          </cell>
          <cell r="G43">
            <v>0</v>
          </cell>
          <cell r="H43">
            <v>0</v>
          </cell>
          <cell r="I43">
            <v>0</v>
          </cell>
          <cell r="J43">
            <v>0</v>
          </cell>
          <cell r="K43">
            <v>0</v>
          </cell>
        </row>
        <row r="44">
          <cell r="A44" t="str">
            <v>Real After-Tax Cost of Capital</v>
          </cell>
          <cell r="B44">
            <v>6.3038709053215888E-2</v>
          </cell>
          <cell r="C44">
            <v>4.387844424080023E-2</v>
          </cell>
          <cell r="D44">
            <v>5.3289007766645871E-2</v>
          </cell>
          <cell r="E44">
            <v>5.447903102274565E-2</v>
          </cell>
          <cell r="F44">
            <v>0</v>
          </cell>
          <cell r="G44">
            <v>0</v>
          </cell>
          <cell r="H44">
            <v>0</v>
          </cell>
          <cell r="I44">
            <v>0</v>
          </cell>
          <cell r="J44">
            <v>0</v>
          </cell>
          <cell r="K44">
            <v>0</v>
          </cell>
        </row>
        <row r="45">
          <cell r="A45" t="str">
            <v>Financial Life (years)</v>
          </cell>
          <cell r="B45">
            <v>12</v>
          </cell>
          <cell r="C45">
            <v>12</v>
          </cell>
          <cell r="D45">
            <v>1</v>
          </cell>
          <cell r="E45">
            <v>1</v>
          </cell>
          <cell r="F45">
            <v>0</v>
          </cell>
          <cell r="G45">
            <v>0</v>
          </cell>
          <cell r="H45">
            <v>0</v>
          </cell>
          <cell r="I45">
            <v>0</v>
          </cell>
          <cell r="J45">
            <v>0</v>
          </cell>
          <cell r="K45">
            <v>0</v>
          </cell>
        </row>
        <row r="46">
          <cell r="A46" t="str">
            <v xml:space="preserve">Sponsor Share of Initial Capital Cost </v>
          </cell>
          <cell r="B46">
            <v>0.35</v>
          </cell>
          <cell r="C46">
            <v>0.19500000000000001</v>
          </cell>
          <cell r="D46">
            <v>4.8749999999999988E-2</v>
          </cell>
          <cell r="E46">
            <v>0.40625</v>
          </cell>
          <cell r="F46">
            <v>0</v>
          </cell>
          <cell r="G46">
            <v>0</v>
          </cell>
          <cell r="H46">
            <v>0</v>
          </cell>
          <cell r="I46">
            <v>0</v>
          </cell>
          <cell r="J46">
            <v>0</v>
          </cell>
          <cell r="K46">
            <v>0</v>
          </cell>
        </row>
        <row r="47">
          <cell r="A47" t="str">
            <v>Sponsor Share of Annual O&amp;M</v>
          </cell>
          <cell r="B47">
            <v>1</v>
          </cell>
          <cell r="C47">
            <v>0</v>
          </cell>
          <cell r="D47">
            <v>0</v>
          </cell>
          <cell r="E47">
            <v>0</v>
          </cell>
          <cell r="F47">
            <v>0</v>
          </cell>
          <cell r="G47">
            <v>0</v>
          </cell>
          <cell r="H47">
            <v>0</v>
          </cell>
          <cell r="I47">
            <v>0</v>
          </cell>
          <cell r="J47">
            <v>0</v>
          </cell>
          <cell r="K47">
            <v>0</v>
          </cell>
        </row>
        <row r="48">
          <cell r="A48" t="str">
            <v>Sponsor Share of Periodic Replacement Cost</v>
          </cell>
          <cell r="B48">
            <v>1</v>
          </cell>
          <cell r="C48">
            <v>0</v>
          </cell>
          <cell r="D48">
            <v>0</v>
          </cell>
          <cell r="E48">
            <v>0</v>
          </cell>
          <cell r="F48">
            <v>0</v>
          </cell>
          <cell r="G48">
            <v>0</v>
          </cell>
          <cell r="H48">
            <v>0</v>
          </cell>
          <cell r="I48">
            <v>0</v>
          </cell>
          <cell r="J48">
            <v>0</v>
          </cell>
          <cell r="K48">
            <v>0</v>
          </cell>
        </row>
        <row r="49">
          <cell r="A49" t="str">
            <v>Sponsor Share of Admin Cost</v>
          </cell>
          <cell r="B49">
            <v>0</v>
          </cell>
          <cell r="C49">
            <v>0.3</v>
          </cell>
          <cell r="D49">
            <v>7.4999999999999983E-2</v>
          </cell>
          <cell r="E49">
            <v>0.625</v>
          </cell>
          <cell r="F49">
            <v>0</v>
          </cell>
          <cell r="G49">
            <v>0</v>
          </cell>
          <cell r="H49">
            <v>0</v>
          </cell>
          <cell r="I49">
            <v>0</v>
          </cell>
          <cell r="J49">
            <v>0</v>
          </cell>
          <cell r="K49">
            <v>0</v>
          </cell>
        </row>
        <row r="50">
          <cell r="A50" t="str">
            <v>Last Year of Non-Customer O&amp;M &amp; Period Replacement</v>
          </cell>
          <cell r="B50">
            <v>0</v>
          </cell>
          <cell r="C50">
            <v>20</v>
          </cell>
          <cell r="D50">
            <v>0</v>
          </cell>
          <cell r="E50">
            <v>0</v>
          </cell>
          <cell r="F50">
            <v>0</v>
          </cell>
          <cell r="G50">
            <v>0</v>
          </cell>
          <cell r="H50">
            <v>0</v>
          </cell>
          <cell r="I50">
            <v>0</v>
          </cell>
          <cell r="J50">
            <v>0</v>
          </cell>
          <cell r="K50">
            <v>0</v>
          </cell>
        </row>
        <row r="51">
          <cell r="A51">
            <v>0</v>
          </cell>
          <cell r="B51">
            <v>0</v>
          </cell>
          <cell r="C51">
            <v>0</v>
          </cell>
          <cell r="D51">
            <v>0</v>
          </cell>
          <cell r="E51">
            <v>0</v>
          </cell>
          <cell r="F51">
            <v>0</v>
          </cell>
          <cell r="G51">
            <v>0</v>
          </cell>
          <cell r="H51">
            <v>0</v>
          </cell>
          <cell r="I51">
            <v>0</v>
          </cell>
          <cell r="J51">
            <v>0</v>
          </cell>
          <cell r="K51">
            <v>0</v>
          </cell>
        </row>
        <row r="52">
          <cell r="A52" t="str">
            <v>Utility System Measures</v>
          </cell>
          <cell r="B52">
            <v>0</v>
          </cell>
          <cell r="C52">
            <v>0</v>
          </cell>
          <cell r="D52">
            <v>0</v>
          </cell>
          <cell r="E52">
            <v>0</v>
          </cell>
          <cell r="F52">
            <v>0</v>
          </cell>
          <cell r="G52">
            <v>0</v>
          </cell>
          <cell r="H52">
            <v>0</v>
          </cell>
          <cell r="I52">
            <v>0</v>
          </cell>
          <cell r="J52">
            <v>0</v>
          </cell>
          <cell r="K52">
            <v>0</v>
          </cell>
        </row>
        <row r="53">
          <cell r="A53" t="str">
            <v>Sponsor Parameters</v>
          </cell>
          <cell r="B53" t="str">
            <v>Customer</v>
          </cell>
          <cell r="C53" t="str">
            <v>Wholesale / Bonneville</v>
          </cell>
          <cell r="D53" t="str">
            <v>Retail Elec</v>
          </cell>
          <cell r="E53" t="str">
            <v>Nat Gas</v>
          </cell>
          <cell r="F53">
            <v>0</v>
          </cell>
          <cell r="G53">
            <v>0</v>
          </cell>
          <cell r="H53">
            <v>0</v>
          </cell>
          <cell r="I53">
            <v>0</v>
          </cell>
          <cell r="J53">
            <v>0</v>
          </cell>
          <cell r="K53">
            <v>0</v>
          </cell>
        </row>
        <row r="54">
          <cell r="A54" t="str">
            <v>Real After-Tax Cost of Capital</v>
          </cell>
          <cell r="B54">
            <v>6.3038709053215888E-2</v>
          </cell>
          <cell r="C54">
            <v>4.387844424080023E-2</v>
          </cell>
          <cell r="D54">
            <v>5.3289007766645871E-2</v>
          </cell>
          <cell r="E54">
            <v>5.447903102274565E-2</v>
          </cell>
          <cell r="F54">
            <v>0</v>
          </cell>
          <cell r="G54">
            <v>0</v>
          </cell>
          <cell r="H54">
            <v>0</v>
          </cell>
          <cell r="I54">
            <v>0</v>
          </cell>
          <cell r="J54">
            <v>0</v>
          </cell>
          <cell r="K54">
            <v>0</v>
          </cell>
        </row>
        <row r="55">
          <cell r="A55" t="str">
            <v>Financial Life (years)</v>
          </cell>
          <cell r="B55">
            <v>12</v>
          </cell>
          <cell r="C55">
            <v>12</v>
          </cell>
          <cell r="D55">
            <v>1</v>
          </cell>
          <cell r="E55">
            <v>1</v>
          </cell>
          <cell r="F55">
            <v>0</v>
          </cell>
          <cell r="G55">
            <v>0</v>
          </cell>
          <cell r="H55">
            <v>0</v>
          </cell>
          <cell r="I55">
            <v>0</v>
          </cell>
          <cell r="J55">
            <v>0</v>
          </cell>
          <cell r="K55">
            <v>0</v>
          </cell>
        </row>
        <row r="56">
          <cell r="A56" t="str">
            <v xml:space="preserve">Sponsor Share of Initial Capital Cost </v>
          </cell>
          <cell r="B56">
            <v>0</v>
          </cell>
          <cell r="C56">
            <v>0.3</v>
          </cell>
          <cell r="D56">
            <v>7.4999999999999983E-2</v>
          </cell>
          <cell r="E56">
            <v>0.625</v>
          </cell>
          <cell r="F56">
            <v>0</v>
          </cell>
          <cell r="G56">
            <v>0</v>
          </cell>
          <cell r="H56">
            <v>0</v>
          </cell>
          <cell r="I56">
            <v>0</v>
          </cell>
          <cell r="J56">
            <v>0</v>
          </cell>
          <cell r="K56">
            <v>0</v>
          </cell>
        </row>
        <row r="57">
          <cell r="A57" t="str">
            <v>Sponsor Share of Annual O&amp;M</v>
          </cell>
          <cell r="B57">
            <v>0</v>
          </cell>
          <cell r="C57">
            <v>0.3</v>
          </cell>
          <cell r="D57">
            <v>7.4999999999999983E-2</v>
          </cell>
          <cell r="E57">
            <v>0.625</v>
          </cell>
          <cell r="F57">
            <v>0</v>
          </cell>
          <cell r="G57">
            <v>0</v>
          </cell>
          <cell r="H57">
            <v>0</v>
          </cell>
          <cell r="I57">
            <v>0</v>
          </cell>
          <cell r="J57">
            <v>0</v>
          </cell>
          <cell r="K57">
            <v>0</v>
          </cell>
        </row>
        <row r="58">
          <cell r="A58" t="str">
            <v>Sponsor Share of Periodic Replacement Cost</v>
          </cell>
          <cell r="B58">
            <v>0</v>
          </cell>
          <cell r="C58">
            <v>0.3</v>
          </cell>
          <cell r="D58">
            <v>7.4999999999999983E-2</v>
          </cell>
          <cell r="E58">
            <v>0.625</v>
          </cell>
          <cell r="F58">
            <v>0</v>
          </cell>
          <cell r="G58">
            <v>0</v>
          </cell>
          <cell r="H58">
            <v>0</v>
          </cell>
          <cell r="I58">
            <v>0</v>
          </cell>
          <cell r="J58">
            <v>0</v>
          </cell>
          <cell r="K58">
            <v>0</v>
          </cell>
        </row>
        <row r="59">
          <cell r="A59" t="str">
            <v>Sponsor Share of Admin Cost</v>
          </cell>
          <cell r="B59">
            <v>0</v>
          </cell>
          <cell r="C59">
            <v>0.3</v>
          </cell>
          <cell r="D59">
            <v>7.4999999999999983E-2</v>
          </cell>
          <cell r="E59">
            <v>0.625</v>
          </cell>
          <cell r="F59">
            <v>0</v>
          </cell>
          <cell r="G59">
            <v>0</v>
          </cell>
          <cell r="H59">
            <v>0</v>
          </cell>
          <cell r="I59">
            <v>0</v>
          </cell>
          <cell r="J59">
            <v>0</v>
          </cell>
          <cell r="K59">
            <v>0</v>
          </cell>
        </row>
        <row r="60">
          <cell r="A60" t="str">
            <v>Last Year of Non-Customer O&amp;M &amp; Period Replacement</v>
          </cell>
          <cell r="B60">
            <v>0</v>
          </cell>
          <cell r="C60">
            <v>20</v>
          </cell>
          <cell r="D60">
            <v>0</v>
          </cell>
          <cell r="E60">
            <v>0</v>
          </cell>
          <cell r="F60">
            <v>0</v>
          </cell>
          <cell r="G60">
            <v>0</v>
          </cell>
          <cell r="H60">
            <v>0</v>
          </cell>
          <cell r="I60">
            <v>0</v>
          </cell>
          <cell r="J60">
            <v>0</v>
          </cell>
          <cell r="K60">
            <v>0</v>
          </cell>
        </row>
        <row r="61">
          <cell r="A61">
            <v>0</v>
          </cell>
          <cell r="B61">
            <v>0</v>
          </cell>
          <cell r="C61">
            <v>0</v>
          </cell>
          <cell r="D61">
            <v>0</v>
          </cell>
          <cell r="E61">
            <v>0</v>
          </cell>
          <cell r="F61">
            <v>0</v>
          </cell>
          <cell r="G61">
            <v>0</v>
          </cell>
          <cell r="H61">
            <v>0</v>
          </cell>
          <cell r="I61">
            <v>0</v>
          </cell>
          <cell r="J61">
            <v>0</v>
          </cell>
          <cell r="K61">
            <v>0</v>
          </cell>
        </row>
        <row r="62">
          <cell r="A62" t="str">
            <v>Local Government Sector Measures (Municipal, County, State)</v>
          </cell>
          <cell r="B62">
            <v>0</v>
          </cell>
          <cell r="C62">
            <v>0</v>
          </cell>
          <cell r="D62">
            <v>0</v>
          </cell>
          <cell r="E62">
            <v>0</v>
          </cell>
          <cell r="F62">
            <v>0</v>
          </cell>
          <cell r="G62">
            <v>0</v>
          </cell>
          <cell r="H62">
            <v>0</v>
          </cell>
          <cell r="I62">
            <v>0</v>
          </cell>
          <cell r="J62">
            <v>0</v>
          </cell>
          <cell r="K62">
            <v>0</v>
          </cell>
        </row>
        <row r="63">
          <cell r="A63" t="str">
            <v>Sponsor Parameters</v>
          </cell>
          <cell r="B63" t="str">
            <v>Customer</v>
          </cell>
          <cell r="C63" t="str">
            <v>Wholesale / Bonneville</v>
          </cell>
          <cell r="D63" t="str">
            <v>Retail Elec</v>
          </cell>
          <cell r="E63" t="str">
            <v>Nat Gas</v>
          </cell>
          <cell r="F63">
            <v>0</v>
          </cell>
          <cell r="G63">
            <v>0</v>
          </cell>
          <cell r="H63">
            <v>0</v>
          </cell>
          <cell r="I63">
            <v>0</v>
          </cell>
          <cell r="J63">
            <v>0</v>
          </cell>
          <cell r="K63">
            <v>0</v>
          </cell>
        </row>
        <row r="64">
          <cell r="A64" t="str">
            <v>Real After-Tax Cost of Capital</v>
          </cell>
          <cell r="B64">
            <v>3.9641470504999825E-2</v>
          </cell>
          <cell r="C64">
            <v>4.387844424080023E-2</v>
          </cell>
          <cell r="D64">
            <v>5.3289007766645871E-2</v>
          </cell>
          <cell r="E64">
            <v>5.447903102274565E-2</v>
          </cell>
          <cell r="F64">
            <v>0</v>
          </cell>
          <cell r="G64">
            <v>0</v>
          </cell>
          <cell r="H64">
            <v>0</v>
          </cell>
          <cell r="I64">
            <v>0</v>
          </cell>
          <cell r="J64">
            <v>0</v>
          </cell>
          <cell r="K64">
            <v>0</v>
          </cell>
        </row>
        <row r="65">
          <cell r="A65" t="str">
            <v>Financial Life (years)</v>
          </cell>
          <cell r="B65">
            <v>12</v>
          </cell>
          <cell r="C65">
            <v>12</v>
          </cell>
          <cell r="D65">
            <v>1</v>
          </cell>
          <cell r="E65">
            <v>1</v>
          </cell>
          <cell r="F65">
            <v>0</v>
          </cell>
          <cell r="G65">
            <v>0</v>
          </cell>
          <cell r="H65">
            <v>0</v>
          </cell>
          <cell r="I65">
            <v>0</v>
          </cell>
          <cell r="J65">
            <v>0</v>
          </cell>
          <cell r="K65">
            <v>0</v>
          </cell>
        </row>
        <row r="66">
          <cell r="A66" t="str">
            <v xml:space="preserve">Sponsor Share of Initial Capital Cost </v>
          </cell>
          <cell r="B66">
            <v>0.35</v>
          </cell>
          <cell r="C66">
            <v>0.19500000000000001</v>
          </cell>
          <cell r="D66">
            <v>4.8749999999999988E-2</v>
          </cell>
          <cell r="E66">
            <v>0.40625</v>
          </cell>
          <cell r="F66">
            <v>0</v>
          </cell>
          <cell r="G66">
            <v>0</v>
          </cell>
          <cell r="H66">
            <v>0</v>
          </cell>
          <cell r="I66">
            <v>0</v>
          </cell>
          <cell r="J66">
            <v>0</v>
          </cell>
          <cell r="K66">
            <v>0</v>
          </cell>
        </row>
        <row r="67">
          <cell r="A67" t="str">
            <v>Sponsor Share of Annual O&amp;M</v>
          </cell>
          <cell r="B67">
            <v>1</v>
          </cell>
          <cell r="C67">
            <v>0</v>
          </cell>
          <cell r="D67">
            <v>0</v>
          </cell>
          <cell r="E67">
            <v>0</v>
          </cell>
          <cell r="F67">
            <v>0</v>
          </cell>
          <cell r="G67">
            <v>0</v>
          </cell>
          <cell r="H67">
            <v>0</v>
          </cell>
          <cell r="I67">
            <v>0</v>
          </cell>
          <cell r="J67">
            <v>0</v>
          </cell>
          <cell r="K67">
            <v>0</v>
          </cell>
        </row>
        <row r="68">
          <cell r="A68" t="str">
            <v>Sponsor Share of Periodic Replacement Cost</v>
          </cell>
          <cell r="B68">
            <v>1</v>
          </cell>
          <cell r="C68">
            <v>0</v>
          </cell>
          <cell r="D68">
            <v>0</v>
          </cell>
          <cell r="E68">
            <v>0</v>
          </cell>
          <cell r="F68">
            <v>0</v>
          </cell>
          <cell r="G68">
            <v>0</v>
          </cell>
          <cell r="H68">
            <v>0</v>
          </cell>
          <cell r="I68">
            <v>0</v>
          </cell>
          <cell r="J68">
            <v>0</v>
          </cell>
          <cell r="K68">
            <v>0</v>
          </cell>
        </row>
        <row r="69">
          <cell r="A69" t="str">
            <v>Sponsor Share of Admin Cost</v>
          </cell>
          <cell r="B69">
            <v>0</v>
          </cell>
          <cell r="C69">
            <v>0.3</v>
          </cell>
          <cell r="D69">
            <v>7.4999999999999983E-2</v>
          </cell>
          <cell r="E69">
            <v>0.625</v>
          </cell>
          <cell r="F69">
            <v>0</v>
          </cell>
          <cell r="G69">
            <v>0</v>
          </cell>
          <cell r="H69">
            <v>0</v>
          </cell>
          <cell r="I69">
            <v>0</v>
          </cell>
          <cell r="J69">
            <v>0</v>
          </cell>
          <cell r="K69">
            <v>0</v>
          </cell>
        </row>
        <row r="70">
          <cell r="A70" t="str">
            <v>Last Year of Non-Customer O&amp;M &amp; Period Replacement</v>
          </cell>
          <cell r="B70">
            <v>0</v>
          </cell>
          <cell r="C70">
            <v>20</v>
          </cell>
          <cell r="D70">
            <v>0</v>
          </cell>
          <cell r="E70">
            <v>0</v>
          </cell>
          <cell r="F70">
            <v>0</v>
          </cell>
          <cell r="G70">
            <v>0</v>
          </cell>
          <cell r="H70">
            <v>0</v>
          </cell>
          <cell r="I70">
            <v>0</v>
          </cell>
          <cell r="J70">
            <v>0</v>
          </cell>
          <cell r="K70">
            <v>0</v>
          </cell>
        </row>
        <row r="71">
          <cell r="A71">
            <v>0</v>
          </cell>
          <cell r="B71">
            <v>0</v>
          </cell>
          <cell r="C71">
            <v>0</v>
          </cell>
          <cell r="D71">
            <v>0</v>
          </cell>
          <cell r="E71">
            <v>0</v>
          </cell>
          <cell r="F71">
            <v>0</v>
          </cell>
          <cell r="G71">
            <v>0</v>
          </cell>
          <cell r="H71">
            <v>0</v>
          </cell>
          <cell r="I71">
            <v>0</v>
          </cell>
          <cell r="J71">
            <v>0</v>
          </cell>
          <cell r="K71">
            <v>0</v>
          </cell>
        </row>
        <row r="72">
          <cell r="A72">
            <v>0</v>
          </cell>
          <cell r="B72">
            <v>0</v>
          </cell>
          <cell r="C72">
            <v>0</v>
          </cell>
          <cell r="D72">
            <v>0</v>
          </cell>
          <cell r="E72">
            <v>0</v>
          </cell>
        </row>
        <row r="73">
          <cell r="A73">
            <v>0</v>
          </cell>
          <cell r="B73">
            <v>0</v>
          </cell>
          <cell r="C73">
            <v>0</v>
          </cell>
          <cell r="D73">
            <v>0</v>
          </cell>
          <cell r="E73">
            <v>0</v>
          </cell>
        </row>
        <row r="74">
          <cell r="A74">
            <v>0</v>
          </cell>
          <cell r="B74">
            <v>0</v>
          </cell>
          <cell r="C74">
            <v>0</v>
          </cell>
          <cell r="D74">
            <v>0</v>
          </cell>
          <cell r="E74">
            <v>0</v>
          </cell>
        </row>
      </sheetData>
      <sheetData sheetId="3">
        <row r="2">
          <cell r="A2" t="str">
            <v>Program Tracking Data</v>
          </cell>
          <cell r="C2" t="str">
            <v>Unit Energy Savings</v>
          </cell>
          <cell r="D2" t="str">
            <v>Proven</v>
          </cell>
          <cell r="E2" t="str">
            <v>Statistical</v>
          </cell>
          <cell r="G2" t="str">
            <v>Pre-Conditions</v>
          </cell>
        </row>
        <row r="3">
          <cell r="A3" t="str">
            <v>In-Store Retail</v>
          </cell>
          <cell r="C3" t="str">
            <v>Standard Protocol</v>
          </cell>
          <cell r="D3" t="str">
            <v>Provisional</v>
          </cell>
          <cell r="E3" t="str">
            <v>Meta-Statistical</v>
          </cell>
          <cell r="G3" t="str">
            <v>Current Practice</v>
          </cell>
        </row>
        <row r="4">
          <cell r="A4" t="str">
            <v>Contractor and Project Invoices</v>
          </cell>
          <cell r="C4" t="str">
            <v>Custom</v>
          </cell>
          <cell r="D4" t="str">
            <v>Small Saver</v>
          </cell>
          <cell r="E4" t="str">
            <v>Calibrated Engineering</v>
          </cell>
          <cell r="G4" t="str">
            <v>Pre-Conditions and Current Practice</v>
          </cell>
        </row>
        <row r="5">
          <cell r="A5" t="str">
            <v>Contractor Price Sheets</v>
          </cell>
          <cell r="C5" t="str">
            <v>Program Impact Evaluation</v>
          </cell>
          <cell r="D5" t="str">
            <v>Planning</v>
          </cell>
          <cell r="E5" t="str">
            <v>All</v>
          </cell>
        </row>
        <row r="6">
          <cell r="A6" t="str">
            <v>Online Retail</v>
          </cell>
          <cell r="C6" t="str">
            <v>All</v>
          </cell>
          <cell r="D6" t="str">
            <v>All</v>
          </cell>
        </row>
        <row r="7">
          <cell r="A7" t="str">
            <v>DOE / Other Standard Setting Process</v>
          </cell>
        </row>
        <row r="8">
          <cell r="A8" t="str">
            <v>Contractor Interview</v>
          </cell>
        </row>
        <row r="9">
          <cell r="A9" t="str">
            <v>Distributor Interview</v>
          </cell>
        </row>
        <row r="10">
          <cell r="A10" t="str">
            <v>Market Actor Interviews</v>
          </cell>
        </row>
        <row r="11">
          <cell r="A11" t="str">
            <v>Maintenance Staff Interviews</v>
          </cell>
        </row>
        <row r="12">
          <cell r="A12" t="str">
            <v>Professional Judgment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BASE"/>
      <sheetName val="STOCK"/>
      <sheetName val="TURN"/>
      <sheetName val="ACHIEV"/>
      <sheetName val="RAMP"/>
      <sheetName val="CODE"/>
      <sheetName val="CHAR"/>
      <sheetName val="Floor"/>
      <sheetName val="Vars"/>
      <sheetName val="Labels"/>
      <sheetName val="Lookup"/>
      <sheetName val="EUI"/>
      <sheetName val="Measure Name List"/>
      <sheetName val="CBSA Data"/>
      <sheetName val="Com_Master_7P"/>
    </sheetNames>
    <definedNames>
      <definedName name="ACHIEV" refersTo="='ACHIEV'!$B$12:$Y$112"/>
      <definedName name="APPLIC" refersTo="='APPLIC'!$B$12:$X$112"/>
      <definedName name="BLDGTYPE" refersTo="='APPLIC'!$B$11:$U$11"/>
      <definedName name="TURN" refersTo="='TURN'!$B$12:$U$95" sheetId="7"/>
    </definedNames>
    <sheetDataSet>
      <sheetData sheetId="0"/>
      <sheetData sheetId="1"/>
      <sheetData sheetId="2">
        <row r="68">
          <cell r="D68" t="str">
            <v>Street and Roadway Lighting-New</v>
          </cell>
        </row>
        <row r="69">
          <cell r="D69" t="str">
            <v>Street and Roadway Lighting-NR</v>
          </cell>
        </row>
      </sheetData>
      <sheetData sheetId="3">
        <row r="4">
          <cell r="H4">
            <v>2035</v>
          </cell>
        </row>
      </sheetData>
      <sheetData sheetId="4">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 Controls-Retro</v>
          </cell>
          <cell r="C12">
            <v>0.01</v>
          </cell>
          <cell r="D12">
            <v>0.01</v>
          </cell>
          <cell r="E12">
            <v>0.01</v>
          </cell>
          <cell r="F12">
            <v>0.01</v>
          </cell>
          <cell r="G12">
            <v>0.01</v>
          </cell>
          <cell r="H12">
            <v>0.01</v>
          </cell>
          <cell r="I12">
            <v>0.01</v>
          </cell>
          <cell r="J12">
            <v>0.01</v>
          </cell>
          <cell r="K12">
            <v>0.01</v>
          </cell>
          <cell r="L12">
            <v>0.01</v>
          </cell>
          <cell r="M12">
            <v>0.01</v>
          </cell>
          <cell r="N12">
            <v>0.01</v>
          </cell>
          <cell r="O12">
            <v>0.01</v>
          </cell>
          <cell r="P12">
            <v>0.01</v>
          </cell>
          <cell r="Q12">
            <v>0.01</v>
          </cell>
          <cell r="R12">
            <v>0.01</v>
          </cell>
          <cell r="S12">
            <v>0.01</v>
          </cell>
          <cell r="T12">
            <v>0.01</v>
          </cell>
          <cell r="V12"/>
          <cell r="X12">
            <v>0.01</v>
          </cell>
        </row>
        <row r="13">
          <cell r="B13" t="str">
            <v>Compressed Air Improvements-Retro</v>
          </cell>
          <cell r="C13">
            <v>9.9000000000000008E-3</v>
          </cell>
          <cell r="D13">
            <v>9.9000000000000008E-3</v>
          </cell>
          <cell r="E13">
            <v>9.9000000000000008E-3</v>
          </cell>
          <cell r="F13">
            <v>9.9000000000000008E-3</v>
          </cell>
          <cell r="G13">
            <v>9.9000000000000008E-3</v>
          </cell>
          <cell r="H13">
            <v>9.9000000000000008E-3</v>
          </cell>
          <cell r="I13">
            <v>9.9000000000000008E-3</v>
          </cell>
          <cell r="J13">
            <v>9.9000000000000008E-3</v>
          </cell>
          <cell r="K13">
            <v>9.9000000000000008E-3</v>
          </cell>
          <cell r="L13">
            <v>9.9000000000000008E-3</v>
          </cell>
          <cell r="M13">
            <v>9.9000000000000008E-3</v>
          </cell>
          <cell r="N13">
            <v>9.9000000000000008E-3</v>
          </cell>
          <cell r="O13">
            <v>9.9000000000000008E-3</v>
          </cell>
          <cell r="P13">
            <v>9.9000000000000008E-3</v>
          </cell>
          <cell r="Q13">
            <v>9.9000000000000008E-3</v>
          </cell>
          <cell r="R13">
            <v>9.9000000000000008E-3</v>
          </cell>
          <cell r="S13">
            <v>9.9000000000000008E-3</v>
          </cell>
          <cell r="T13">
            <v>9.9000000000000008E-3</v>
          </cell>
          <cell r="V13"/>
          <cell r="X13">
            <v>0.01</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V14"/>
          <cell r="X14">
            <v>0</v>
          </cell>
        </row>
        <row r="15">
          <cell r="B15" t="str">
            <v>Computer Servers and IT-Retro</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V15"/>
          <cell r="X15">
            <v>0</v>
          </cell>
        </row>
        <row r="16">
          <cell r="B16" t="str">
            <v>Smart Plug Power Strips-Retro</v>
          </cell>
          <cell r="C16">
            <v>0.01</v>
          </cell>
          <cell r="D16">
            <v>0.01</v>
          </cell>
          <cell r="E16">
            <v>0.01</v>
          </cell>
          <cell r="F16">
            <v>0.01</v>
          </cell>
          <cell r="G16">
            <v>0.01</v>
          </cell>
          <cell r="H16">
            <v>0.01</v>
          </cell>
          <cell r="I16">
            <v>0.01</v>
          </cell>
          <cell r="J16">
            <v>0.01</v>
          </cell>
          <cell r="K16">
            <v>0.01</v>
          </cell>
          <cell r="L16">
            <v>0.01</v>
          </cell>
          <cell r="M16">
            <v>0.01</v>
          </cell>
          <cell r="N16">
            <v>0.01</v>
          </cell>
          <cell r="O16">
            <v>0.01</v>
          </cell>
          <cell r="P16">
            <v>0.01</v>
          </cell>
          <cell r="Q16">
            <v>0.01</v>
          </cell>
          <cell r="R16">
            <v>0.01</v>
          </cell>
          <cell r="S16">
            <v>0.01</v>
          </cell>
          <cell r="T16">
            <v>0.01</v>
          </cell>
          <cell r="U16">
            <v>0.9</v>
          </cell>
          <cell r="V16"/>
          <cell r="X16">
            <v>0.01</v>
          </cell>
        </row>
        <row r="17">
          <cell r="B17" t="str">
            <v>Data Centers-Retro</v>
          </cell>
          <cell r="C17">
            <v>0.01</v>
          </cell>
          <cell r="D17">
            <v>0.01</v>
          </cell>
          <cell r="E17">
            <v>0.01</v>
          </cell>
          <cell r="F17">
            <v>0.01</v>
          </cell>
          <cell r="G17">
            <v>0.01</v>
          </cell>
          <cell r="H17">
            <v>0.01</v>
          </cell>
          <cell r="I17">
            <v>0.01</v>
          </cell>
          <cell r="J17">
            <v>0.01</v>
          </cell>
          <cell r="K17">
            <v>0.01</v>
          </cell>
          <cell r="L17">
            <v>0.01</v>
          </cell>
          <cell r="M17">
            <v>0.01</v>
          </cell>
          <cell r="N17">
            <v>0.01</v>
          </cell>
          <cell r="O17">
            <v>0.01</v>
          </cell>
          <cell r="P17">
            <v>0.01</v>
          </cell>
          <cell r="Q17">
            <v>0.01</v>
          </cell>
          <cell r="R17">
            <v>0.01</v>
          </cell>
          <cell r="S17">
            <v>0.01</v>
          </cell>
          <cell r="T17">
            <v>0.01</v>
          </cell>
          <cell r="V17"/>
          <cell r="X17">
            <v>0.01</v>
          </cell>
        </row>
        <row r="18">
          <cell r="B18" t="str">
            <v>Average Commercial Computer Monitor-Retro</v>
          </cell>
          <cell r="C18">
            <v>0.01</v>
          </cell>
          <cell r="D18">
            <v>0.01</v>
          </cell>
          <cell r="E18">
            <v>0.01</v>
          </cell>
          <cell r="F18">
            <v>0.01</v>
          </cell>
          <cell r="G18">
            <v>0.01</v>
          </cell>
          <cell r="H18">
            <v>0.01</v>
          </cell>
          <cell r="I18">
            <v>0.01</v>
          </cell>
          <cell r="J18">
            <v>0.01</v>
          </cell>
          <cell r="K18">
            <v>0.01</v>
          </cell>
          <cell r="L18">
            <v>0.01</v>
          </cell>
          <cell r="M18">
            <v>0.01</v>
          </cell>
          <cell r="N18">
            <v>0.01</v>
          </cell>
          <cell r="O18">
            <v>0.01</v>
          </cell>
          <cell r="P18">
            <v>0.01</v>
          </cell>
          <cell r="Q18">
            <v>0.01</v>
          </cell>
          <cell r="R18">
            <v>0.01</v>
          </cell>
          <cell r="S18">
            <v>0.01</v>
          </cell>
          <cell r="T18">
            <v>0.01</v>
          </cell>
          <cell r="V18"/>
          <cell r="X18">
            <v>0.01</v>
          </cell>
        </row>
        <row r="19">
          <cell r="B19" t="str">
            <v>Average Commercial Computer-Retro</v>
          </cell>
          <cell r="C19">
            <v>0.01</v>
          </cell>
          <cell r="D19">
            <v>0.01</v>
          </cell>
          <cell r="E19">
            <v>0.01</v>
          </cell>
          <cell r="F19">
            <v>0.01</v>
          </cell>
          <cell r="G19">
            <v>0.01</v>
          </cell>
          <cell r="H19">
            <v>0.01</v>
          </cell>
          <cell r="I19">
            <v>0.01</v>
          </cell>
          <cell r="J19">
            <v>0.01</v>
          </cell>
          <cell r="K19">
            <v>0.01</v>
          </cell>
          <cell r="L19">
            <v>0.01</v>
          </cell>
          <cell r="M19">
            <v>0.01</v>
          </cell>
          <cell r="N19">
            <v>0.01</v>
          </cell>
          <cell r="O19">
            <v>0.01</v>
          </cell>
          <cell r="P19">
            <v>0.01</v>
          </cell>
          <cell r="Q19">
            <v>0.01</v>
          </cell>
          <cell r="R19">
            <v>0.01</v>
          </cell>
          <cell r="S19">
            <v>0.01</v>
          </cell>
          <cell r="T19">
            <v>0.01</v>
          </cell>
          <cell r="V19"/>
          <cell r="X19">
            <v>0.01</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0.74</v>
          </cell>
          <cell r="V20"/>
          <cell r="X20">
            <v>0</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0.54900000000000004</v>
          </cell>
          <cell r="V21"/>
          <cell r="X21">
            <v>0</v>
          </cell>
        </row>
        <row r="22">
          <cell r="B22" t="str">
            <v>Premium HVAC Equipment-New</v>
          </cell>
          <cell r="C22">
            <v>0.9</v>
          </cell>
          <cell r="D22">
            <v>0.9</v>
          </cell>
          <cell r="E22">
            <v>0.9</v>
          </cell>
          <cell r="F22">
            <v>0.9</v>
          </cell>
          <cell r="G22">
            <v>0.9</v>
          </cell>
          <cell r="H22">
            <v>0.9</v>
          </cell>
          <cell r="I22">
            <v>0.9</v>
          </cell>
          <cell r="J22">
            <v>0.9</v>
          </cell>
          <cell r="K22">
            <v>0.9</v>
          </cell>
          <cell r="L22">
            <v>0.9</v>
          </cell>
          <cell r="M22">
            <v>0.9</v>
          </cell>
          <cell r="N22">
            <v>0.9</v>
          </cell>
          <cell r="O22">
            <v>0.9</v>
          </cell>
          <cell r="P22">
            <v>0.9</v>
          </cell>
          <cell r="Q22">
            <v>0.9</v>
          </cell>
          <cell r="R22">
            <v>0.9</v>
          </cell>
          <cell r="S22">
            <v>0.9</v>
          </cell>
          <cell r="T22">
            <v>0.9</v>
          </cell>
          <cell r="V22"/>
          <cell r="X22">
            <v>1</v>
          </cell>
        </row>
        <row r="23">
          <cell r="B23" t="str">
            <v>Premium HVAC Equipment-NR</v>
          </cell>
          <cell r="C23">
            <v>0.9</v>
          </cell>
          <cell r="D23">
            <v>0.9</v>
          </cell>
          <cell r="E23">
            <v>0.9</v>
          </cell>
          <cell r="F23">
            <v>0.9</v>
          </cell>
          <cell r="G23">
            <v>0.9</v>
          </cell>
          <cell r="H23">
            <v>0.9</v>
          </cell>
          <cell r="I23">
            <v>0.9</v>
          </cell>
          <cell r="J23">
            <v>0.9</v>
          </cell>
          <cell r="K23">
            <v>0.9</v>
          </cell>
          <cell r="L23">
            <v>0.9</v>
          </cell>
          <cell r="M23">
            <v>0.9</v>
          </cell>
          <cell r="N23">
            <v>0.9</v>
          </cell>
          <cell r="O23">
            <v>0.9</v>
          </cell>
          <cell r="P23">
            <v>0.9</v>
          </cell>
          <cell r="Q23">
            <v>0.9</v>
          </cell>
          <cell r="R23">
            <v>0.9</v>
          </cell>
          <cell r="S23">
            <v>0.9</v>
          </cell>
          <cell r="T23">
            <v>0.9</v>
          </cell>
          <cell r="V23"/>
          <cell r="X23">
            <v>1</v>
          </cell>
        </row>
        <row r="24">
          <cell r="B24" t="str">
            <v>Glass-New</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cell r="X24">
            <v>0</v>
          </cell>
        </row>
        <row r="25">
          <cell r="B25" t="str">
            <v>Glass-NR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V25"/>
          <cell r="X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V26"/>
          <cell r="X26">
            <v>0</v>
          </cell>
        </row>
        <row r="27">
          <cell r="B27" t="str">
            <v>Advanced Rooftop Controller-New</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V27"/>
          <cell r="X27">
            <v>0</v>
          </cell>
        </row>
        <row r="28">
          <cell r="B28" t="str">
            <v>Advanced Rooftop Controller-NR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V28"/>
          <cell r="X28">
            <v>0</v>
          </cell>
        </row>
        <row r="29">
          <cell r="B29" t="str">
            <v>Advanced Rooftop Controller-Retro</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V29"/>
          <cell r="X29">
            <v>0</v>
          </cell>
        </row>
        <row r="30">
          <cell r="B30" t="str">
            <v>Variable Speed Chiller-New</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V30"/>
          <cell r="X30">
            <v>0</v>
          </cell>
        </row>
        <row r="31">
          <cell r="B31" t="str">
            <v>Variable Speed Chiller-NR</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V31"/>
          <cell r="X31">
            <v>0</v>
          </cell>
        </row>
        <row r="32">
          <cell r="B32" t="str">
            <v>Commercial EM-New</v>
          </cell>
          <cell r="C32">
            <v>0.01</v>
          </cell>
          <cell r="D32">
            <v>0.01</v>
          </cell>
          <cell r="E32">
            <v>0.01</v>
          </cell>
          <cell r="F32">
            <v>0.01</v>
          </cell>
          <cell r="G32">
            <v>0.01</v>
          </cell>
          <cell r="H32">
            <v>0.01</v>
          </cell>
          <cell r="I32">
            <v>0.01</v>
          </cell>
          <cell r="J32">
            <v>0.01</v>
          </cell>
          <cell r="K32">
            <v>0.01</v>
          </cell>
          <cell r="L32">
            <v>0.01</v>
          </cell>
          <cell r="M32">
            <v>0.01</v>
          </cell>
          <cell r="N32">
            <v>0.01</v>
          </cell>
          <cell r="O32">
            <v>0.01</v>
          </cell>
          <cell r="P32">
            <v>0.01</v>
          </cell>
          <cell r="Q32">
            <v>0.01</v>
          </cell>
          <cell r="R32">
            <v>0.01</v>
          </cell>
          <cell r="S32">
            <v>0.01</v>
          </cell>
          <cell r="T32">
            <v>0.01</v>
          </cell>
          <cell r="V32"/>
          <cell r="X32">
            <v>0.01</v>
          </cell>
        </row>
        <row r="33">
          <cell r="B33" t="str">
            <v>Commercial EM-NR</v>
          </cell>
          <cell r="C33">
            <v>0.01</v>
          </cell>
          <cell r="D33">
            <v>0.01</v>
          </cell>
          <cell r="E33">
            <v>0.01</v>
          </cell>
          <cell r="F33">
            <v>0.01</v>
          </cell>
          <cell r="G33">
            <v>0.01</v>
          </cell>
          <cell r="H33">
            <v>0.01</v>
          </cell>
          <cell r="I33">
            <v>0.01</v>
          </cell>
          <cell r="J33">
            <v>0.01</v>
          </cell>
          <cell r="K33">
            <v>0.01</v>
          </cell>
          <cell r="L33">
            <v>0.01</v>
          </cell>
          <cell r="M33">
            <v>0.01</v>
          </cell>
          <cell r="N33">
            <v>0.01</v>
          </cell>
          <cell r="O33">
            <v>0.01</v>
          </cell>
          <cell r="P33">
            <v>0.01</v>
          </cell>
          <cell r="Q33">
            <v>0.01</v>
          </cell>
          <cell r="R33">
            <v>0.01</v>
          </cell>
          <cell r="S33">
            <v>0.01</v>
          </cell>
          <cell r="T33">
            <v>0.01</v>
          </cell>
          <cell r="V33"/>
          <cell r="X33">
            <v>0.01</v>
          </cell>
        </row>
        <row r="34">
          <cell r="B34" t="str">
            <v>Commercial EM-Retro</v>
          </cell>
          <cell r="C34">
            <v>0.01</v>
          </cell>
          <cell r="D34">
            <v>0.01</v>
          </cell>
          <cell r="E34">
            <v>0.01</v>
          </cell>
          <cell r="F34">
            <v>0.01</v>
          </cell>
          <cell r="G34">
            <v>0.01</v>
          </cell>
          <cell r="H34">
            <v>0.01</v>
          </cell>
          <cell r="I34">
            <v>0.01</v>
          </cell>
          <cell r="J34">
            <v>0.01</v>
          </cell>
          <cell r="K34">
            <v>0.01</v>
          </cell>
          <cell r="L34">
            <v>0.01</v>
          </cell>
          <cell r="M34">
            <v>0.01</v>
          </cell>
          <cell r="N34">
            <v>0.01</v>
          </cell>
          <cell r="O34">
            <v>0.01</v>
          </cell>
          <cell r="P34">
            <v>0.01</v>
          </cell>
          <cell r="Q34">
            <v>0.01</v>
          </cell>
          <cell r="R34">
            <v>0.01</v>
          </cell>
          <cell r="S34">
            <v>0.01</v>
          </cell>
          <cell r="T34">
            <v>0.01</v>
          </cell>
          <cell r="V34"/>
          <cell r="X34">
            <v>0.01</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V35"/>
          <cell r="X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V36"/>
          <cell r="X36">
            <v>0</v>
          </cell>
        </row>
        <row r="37">
          <cell r="B37" t="str">
            <v>Low Pressure Distribution Complex HVAC-New</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V37"/>
          <cell r="X37">
            <v>0</v>
          </cell>
        </row>
        <row r="38">
          <cell r="B38" t="str">
            <v>Demand Control Ventilation-New</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V38"/>
          <cell r="X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V39"/>
          <cell r="X39">
            <v>0</v>
          </cell>
        </row>
        <row r="40">
          <cell r="B40" t="str">
            <v>Demand Control Ventilation-Retro</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V40"/>
          <cell r="X40">
            <v>0</v>
          </cell>
        </row>
        <row r="41">
          <cell r="B41" t="str">
            <v>Premium Fume Hood-New</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0.9</v>
          </cell>
          <cell r="X41">
            <v>0</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V42"/>
          <cell r="X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V43"/>
          <cell r="X43">
            <v>0</v>
          </cell>
        </row>
        <row r="44">
          <cell r="B44" t="str">
            <v>Weatherization - School-Retro</v>
          </cell>
          <cell r="C44">
            <v>0.01</v>
          </cell>
          <cell r="D44">
            <v>0.01</v>
          </cell>
          <cell r="E44">
            <v>0.01</v>
          </cell>
          <cell r="F44">
            <v>0.01</v>
          </cell>
          <cell r="G44">
            <v>0.01</v>
          </cell>
          <cell r="H44">
            <v>0.01</v>
          </cell>
          <cell r="I44">
            <v>0.01</v>
          </cell>
          <cell r="J44">
            <v>0.01</v>
          </cell>
          <cell r="K44">
            <v>0.01</v>
          </cell>
          <cell r="L44">
            <v>0.01</v>
          </cell>
          <cell r="M44">
            <v>0.01</v>
          </cell>
          <cell r="N44">
            <v>0.01</v>
          </cell>
          <cell r="O44">
            <v>0.01</v>
          </cell>
          <cell r="P44">
            <v>0.01</v>
          </cell>
          <cell r="Q44">
            <v>0.01</v>
          </cell>
          <cell r="R44">
            <v>0.01</v>
          </cell>
          <cell r="S44">
            <v>0.01</v>
          </cell>
          <cell r="T44">
            <v>0.01</v>
          </cell>
          <cell r="V44"/>
          <cell r="X44">
            <v>0.01</v>
          </cell>
        </row>
        <row r="45">
          <cell r="B45" t="str">
            <v>Energy Recovery Ventilator-NR</v>
          </cell>
          <cell r="C45">
            <v>0.01</v>
          </cell>
          <cell r="D45">
            <v>0.01</v>
          </cell>
          <cell r="E45">
            <v>0.01</v>
          </cell>
          <cell r="F45">
            <v>0.01</v>
          </cell>
          <cell r="G45">
            <v>0.01</v>
          </cell>
          <cell r="H45">
            <v>0.01</v>
          </cell>
          <cell r="I45">
            <v>0.01</v>
          </cell>
          <cell r="J45">
            <v>0.01</v>
          </cell>
          <cell r="K45">
            <v>0.01</v>
          </cell>
          <cell r="L45">
            <v>0.01</v>
          </cell>
          <cell r="M45">
            <v>0.01</v>
          </cell>
          <cell r="N45">
            <v>0.01</v>
          </cell>
          <cell r="O45">
            <v>0.01</v>
          </cell>
          <cell r="P45">
            <v>0.01</v>
          </cell>
          <cell r="Q45">
            <v>0.01</v>
          </cell>
          <cell r="R45">
            <v>0.01</v>
          </cell>
          <cell r="S45">
            <v>0.01</v>
          </cell>
          <cell r="T45">
            <v>0.01</v>
          </cell>
          <cell r="V45"/>
          <cell r="X45">
            <v>0.01</v>
          </cell>
        </row>
        <row r="46">
          <cell r="B46" t="str">
            <v>AC Heat Recovery for Water Heating-NR</v>
          </cell>
          <cell r="C46">
            <v>0.01</v>
          </cell>
          <cell r="D46">
            <v>0.01</v>
          </cell>
          <cell r="E46">
            <v>0.01</v>
          </cell>
          <cell r="F46">
            <v>0.01</v>
          </cell>
          <cell r="G46">
            <v>0.01</v>
          </cell>
          <cell r="H46">
            <v>0.01</v>
          </cell>
          <cell r="I46">
            <v>0.01</v>
          </cell>
          <cell r="J46">
            <v>0.01</v>
          </cell>
          <cell r="K46">
            <v>0.01</v>
          </cell>
          <cell r="L46">
            <v>0.01</v>
          </cell>
          <cell r="M46">
            <v>0.01</v>
          </cell>
          <cell r="N46">
            <v>0.01</v>
          </cell>
          <cell r="O46">
            <v>0.01</v>
          </cell>
          <cell r="P46">
            <v>0.01</v>
          </cell>
          <cell r="Q46">
            <v>0.01</v>
          </cell>
          <cell r="R46">
            <v>0.01</v>
          </cell>
          <cell r="S46">
            <v>0.01</v>
          </cell>
          <cell r="T46">
            <v>0.01</v>
          </cell>
          <cell r="V46"/>
          <cell r="X46">
            <v>0.01</v>
          </cell>
        </row>
        <row r="47">
          <cell r="B47" t="str">
            <v>Room Occupancy Sensors in Lodging-Retro</v>
          </cell>
          <cell r="C47">
            <v>0.01</v>
          </cell>
          <cell r="D47">
            <v>0.01</v>
          </cell>
          <cell r="E47">
            <v>0.01</v>
          </cell>
          <cell r="F47">
            <v>0.01</v>
          </cell>
          <cell r="G47">
            <v>0.01</v>
          </cell>
          <cell r="H47">
            <v>0.01</v>
          </cell>
          <cell r="I47">
            <v>0.01</v>
          </cell>
          <cell r="J47">
            <v>0.01</v>
          </cell>
          <cell r="K47">
            <v>0.01</v>
          </cell>
          <cell r="L47">
            <v>0.01</v>
          </cell>
          <cell r="M47">
            <v>0.01</v>
          </cell>
          <cell r="N47">
            <v>0.01</v>
          </cell>
          <cell r="O47">
            <v>0.01</v>
          </cell>
          <cell r="P47">
            <v>0.01</v>
          </cell>
          <cell r="Q47">
            <v>0.01</v>
          </cell>
          <cell r="R47">
            <v>0.01</v>
          </cell>
          <cell r="S47">
            <v>0.01</v>
          </cell>
          <cell r="T47">
            <v>0.01</v>
          </cell>
          <cell r="V47"/>
          <cell r="X47">
            <v>0.01</v>
          </cell>
        </row>
        <row r="48">
          <cell r="B48" t="str">
            <v>Chiller - chilled water retrofit-Retro</v>
          </cell>
          <cell r="C48">
            <v>0.01</v>
          </cell>
          <cell r="D48">
            <v>0.01</v>
          </cell>
          <cell r="E48">
            <v>0.01</v>
          </cell>
          <cell r="F48">
            <v>0.01</v>
          </cell>
          <cell r="G48">
            <v>0.01</v>
          </cell>
          <cell r="H48">
            <v>0.01</v>
          </cell>
          <cell r="I48">
            <v>0.01</v>
          </cell>
          <cell r="J48">
            <v>0.01</v>
          </cell>
          <cell r="K48">
            <v>0.01</v>
          </cell>
          <cell r="L48">
            <v>0.01</v>
          </cell>
          <cell r="M48">
            <v>0.01</v>
          </cell>
          <cell r="N48">
            <v>0.01</v>
          </cell>
          <cell r="O48">
            <v>0.01</v>
          </cell>
          <cell r="P48">
            <v>0.01</v>
          </cell>
          <cell r="Q48">
            <v>0.01</v>
          </cell>
          <cell r="R48">
            <v>0.01</v>
          </cell>
          <cell r="S48">
            <v>0.01</v>
          </cell>
          <cell r="T48">
            <v>0.01</v>
          </cell>
          <cell r="V48"/>
          <cell r="X48">
            <v>0.01</v>
          </cell>
        </row>
        <row r="49">
          <cell r="B49" t="str">
            <v>Chiller - equip retrofits-Retro</v>
          </cell>
          <cell r="C49">
            <v>0.01</v>
          </cell>
          <cell r="D49">
            <v>0.01</v>
          </cell>
          <cell r="E49">
            <v>0.01</v>
          </cell>
          <cell r="F49">
            <v>0.01</v>
          </cell>
          <cell r="G49">
            <v>0.01</v>
          </cell>
          <cell r="H49">
            <v>0.01</v>
          </cell>
          <cell r="I49">
            <v>0.01</v>
          </cell>
          <cell r="J49">
            <v>0.01</v>
          </cell>
          <cell r="K49">
            <v>0.01</v>
          </cell>
          <cell r="L49">
            <v>0.01</v>
          </cell>
          <cell r="M49">
            <v>0.01</v>
          </cell>
          <cell r="N49">
            <v>0.01</v>
          </cell>
          <cell r="O49">
            <v>0.01</v>
          </cell>
          <cell r="P49">
            <v>0.01</v>
          </cell>
          <cell r="Q49">
            <v>0.01</v>
          </cell>
          <cell r="R49">
            <v>0.01</v>
          </cell>
          <cell r="S49">
            <v>0.01</v>
          </cell>
          <cell r="T49">
            <v>0.01</v>
          </cell>
          <cell r="V49"/>
          <cell r="X49">
            <v>0.01</v>
          </cell>
        </row>
        <row r="50">
          <cell r="B50" t="str">
            <v>Pool Blankets-Retro</v>
          </cell>
          <cell r="C50">
            <v>0.01</v>
          </cell>
          <cell r="D50">
            <v>0.01</v>
          </cell>
          <cell r="E50">
            <v>0.01</v>
          </cell>
          <cell r="F50">
            <v>0.01</v>
          </cell>
          <cell r="G50">
            <v>0.01</v>
          </cell>
          <cell r="H50">
            <v>0.01</v>
          </cell>
          <cell r="I50">
            <v>0.01</v>
          </cell>
          <cell r="J50">
            <v>0.01</v>
          </cell>
          <cell r="K50">
            <v>0.01</v>
          </cell>
          <cell r="L50">
            <v>0.01</v>
          </cell>
          <cell r="M50">
            <v>0.01</v>
          </cell>
          <cell r="N50">
            <v>0.01</v>
          </cell>
          <cell r="O50">
            <v>0.01</v>
          </cell>
          <cell r="P50">
            <v>0.01</v>
          </cell>
          <cell r="Q50">
            <v>0.01</v>
          </cell>
          <cell r="R50">
            <v>0.01</v>
          </cell>
          <cell r="S50">
            <v>0.01</v>
          </cell>
          <cell r="T50">
            <v>0.01</v>
          </cell>
          <cell r="V50"/>
          <cell r="X50">
            <v>0.01</v>
          </cell>
        </row>
        <row r="51">
          <cell r="B51" t="str">
            <v>Web-Enabled Thermostats-Retro</v>
          </cell>
          <cell r="C51">
            <v>0.01</v>
          </cell>
          <cell r="D51">
            <v>0.01</v>
          </cell>
          <cell r="E51">
            <v>0.01</v>
          </cell>
          <cell r="F51">
            <v>0.01</v>
          </cell>
          <cell r="G51">
            <v>0.01</v>
          </cell>
          <cell r="H51">
            <v>0.01</v>
          </cell>
          <cell r="I51">
            <v>0.01</v>
          </cell>
          <cell r="J51">
            <v>0.01</v>
          </cell>
          <cell r="K51">
            <v>0.01</v>
          </cell>
          <cell r="L51">
            <v>0.01</v>
          </cell>
          <cell r="M51">
            <v>0.01</v>
          </cell>
          <cell r="N51">
            <v>0.01</v>
          </cell>
          <cell r="O51">
            <v>0.01</v>
          </cell>
          <cell r="P51">
            <v>0.01</v>
          </cell>
          <cell r="Q51">
            <v>0.01</v>
          </cell>
          <cell r="R51">
            <v>0.01</v>
          </cell>
          <cell r="S51">
            <v>0.01</v>
          </cell>
          <cell r="T51">
            <v>0.01</v>
          </cell>
          <cell r="V51"/>
          <cell r="X51">
            <v>0.01</v>
          </cell>
        </row>
        <row r="52">
          <cell r="B52" t="str">
            <v>Garage CO2 ventilation-Retro</v>
          </cell>
          <cell r="C52">
            <v>0.01</v>
          </cell>
          <cell r="D52">
            <v>0.01</v>
          </cell>
          <cell r="E52">
            <v>0.01</v>
          </cell>
          <cell r="F52">
            <v>0.01</v>
          </cell>
          <cell r="G52">
            <v>0.01</v>
          </cell>
          <cell r="H52">
            <v>0.01</v>
          </cell>
          <cell r="I52">
            <v>0.01</v>
          </cell>
          <cell r="J52">
            <v>0.01</v>
          </cell>
          <cell r="K52">
            <v>0.01</v>
          </cell>
          <cell r="L52">
            <v>0.01</v>
          </cell>
          <cell r="M52">
            <v>0.01</v>
          </cell>
          <cell r="N52">
            <v>0.01</v>
          </cell>
          <cell r="O52">
            <v>0.01</v>
          </cell>
          <cell r="P52">
            <v>0.01</v>
          </cell>
          <cell r="Q52">
            <v>0.01</v>
          </cell>
          <cell r="R52">
            <v>0.01</v>
          </cell>
          <cell r="S52">
            <v>0.01</v>
          </cell>
          <cell r="T52">
            <v>0.01</v>
          </cell>
          <cell r="V52"/>
          <cell r="X52">
            <v>0.01</v>
          </cell>
        </row>
        <row r="53">
          <cell r="B53" t="str">
            <v>Circ Pump ECM and drive-Retro</v>
          </cell>
          <cell r="C53">
            <v>0.01</v>
          </cell>
          <cell r="D53">
            <v>0.01</v>
          </cell>
          <cell r="E53">
            <v>0.01</v>
          </cell>
          <cell r="F53">
            <v>0.01</v>
          </cell>
          <cell r="G53">
            <v>0.01</v>
          </cell>
          <cell r="H53">
            <v>0.01</v>
          </cell>
          <cell r="I53">
            <v>0.01</v>
          </cell>
          <cell r="J53">
            <v>0.01</v>
          </cell>
          <cell r="K53">
            <v>0.01</v>
          </cell>
          <cell r="L53">
            <v>0.01</v>
          </cell>
          <cell r="M53">
            <v>0.01</v>
          </cell>
          <cell r="N53">
            <v>0.01</v>
          </cell>
          <cell r="O53">
            <v>0.01</v>
          </cell>
          <cell r="P53">
            <v>0.01</v>
          </cell>
          <cell r="Q53">
            <v>0.01</v>
          </cell>
          <cell r="R53">
            <v>0.01</v>
          </cell>
          <cell r="S53">
            <v>0.01</v>
          </cell>
          <cell r="T53">
            <v>0.01</v>
          </cell>
          <cell r="V53"/>
          <cell r="X53">
            <v>0.01</v>
          </cell>
        </row>
        <row r="54">
          <cell r="B54" t="str">
            <v>Variable Capacity Heat Pump-Retro</v>
          </cell>
          <cell r="C54">
            <v>0.01</v>
          </cell>
          <cell r="D54">
            <v>0.01</v>
          </cell>
          <cell r="E54">
            <v>0.01</v>
          </cell>
          <cell r="F54">
            <v>0.01</v>
          </cell>
          <cell r="G54">
            <v>0.01</v>
          </cell>
          <cell r="H54">
            <v>0.01</v>
          </cell>
          <cell r="I54">
            <v>0.01</v>
          </cell>
          <cell r="J54">
            <v>0.01</v>
          </cell>
          <cell r="K54">
            <v>0.01</v>
          </cell>
          <cell r="L54">
            <v>0.01</v>
          </cell>
          <cell r="M54">
            <v>0.01</v>
          </cell>
          <cell r="N54">
            <v>0.01</v>
          </cell>
          <cell r="O54">
            <v>0.01</v>
          </cell>
          <cell r="P54">
            <v>0.01</v>
          </cell>
          <cell r="Q54">
            <v>0.01</v>
          </cell>
          <cell r="R54">
            <v>0.01</v>
          </cell>
          <cell r="S54">
            <v>0.01</v>
          </cell>
          <cell r="T54">
            <v>0.01</v>
          </cell>
          <cell r="V54"/>
          <cell r="X54">
            <v>0.01</v>
          </cell>
        </row>
        <row r="55">
          <cell r="B55" t="str">
            <v>Cool Roofs-Retro</v>
          </cell>
          <cell r="C55">
            <v>0.01</v>
          </cell>
          <cell r="D55">
            <v>0.01</v>
          </cell>
          <cell r="E55">
            <v>0.01</v>
          </cell>
          <cell r="F55">
            <v>0.01</v>
          </cell>
          <cell r="G55">
            <v>0.01</v>
          </cell>
          <cell r="H55">
            <v>0.01</v>
          </cell>
          <cell r="I55">
            <v>0.01</v>
          </cell>
          <cell r="J55">
            <v>0.01</v>
          </cell>
          <cell r="K55">
            <v>0.01</v>
          </cell>
          <cell r="L55">
            <v>0.01</v>
          </cell>
          <cell r="M55">
            <v>0.01</v>
          </cell>
          <cell r="N55">
            <v>0.01</v>
          </cell>
          <cell r="O55">
            <v>0.01</v>
          </cell>
          <cell r="P55">
            <v>0.01</v>
          </cell>
          <cell r="Q55">
            <v>0.01</v>
          </cell>
          <cell r="R55">
            <v>0.01</v>
          </cell>
          <cell r="S55">
            <v>0.01</v>
          </cell>
          <cell r="T55">
            <v>0.01</v>
          </cell>
          <cell r="V55"/>
          <cell r="X55">
            <v>0.01</v>
          </cell>
        </row>
        <row r="56">
          <cell r="B56" t="str">
            <v>Evaporator Roof Top HVAC-Retro</v>
          </cell>
          <cell r="C56">
            <v>0.01</v>
          </cell>
          <cell r="D56">
            <v>0.01</v>
          </cell>
          <cell r="E56">
            <v>0.01</v>
          </cell>
          <cell r="F56">
            <v>0.01</v>
          </cell>
          <cell r="G56">
            <v>0.01</v>
          </cell>
          <cell r="H56">
            <v>0.01</v>
          </cell>
          <cell r="I56">
            <v>0.01</v>
          </cell>
          <cell r="J56">
            <v>0.01</v>
          </cell>
          <cell r="K56">
            <v>0.01</v>
          </cell>
          <cell r="L56">
            <v>0.01</v>
          </cell>
          <cell r="M56">
            <v>0.01</v>
          </cell>
          <cell r="N56">
            <v>0.01</v>
          </cell>
          <cell r="O56">
            <v>0.01</v>
          </cell>
          <cell r="P56">
            <v>0.01</v>
          </cell>
          <cell r="Q56">
            <v>0.01</v>
          </cell>
          <cell r="R56">
            <v>0.01</v>
          </cell>
          <cell r="S56">
            <v>0.01</v>
          </cell>
          <cell r="T56">
            <v>0.01</v>
          </cell>
          <cell r="V56"/>
          <cell r="X56">
            <v>0.01</v>
          </cell>
        </row>
        <row r="57">
          <cell r="B57" t="str">
            <v>Secondary Glazing Systems-Retro</v>
          </cell>
          <cell r="C57">
            <v>0.01</v>
          </cell>
          <cell r="D57">
            <v>0.01</v>
          </cell>
          <cell r="E57">
            <v>0.01</v>
          </cell>
          <cell r="F57">
            <v>0.01</v>
          </cell>
          <cell r="G57">
            <v>0.01</v>
          </cell>
          <cell r="H57">
            <v>0.01</v>
          </cell>
          <cell r="I57">
            <v>0.01</v>
          </cell>
          <cell r="J57">
            <v>0.01</v>
          </cell>
          <cell r="K57">
            <v>0.01</v>
          </cell>
          <cell r="L57">
            <v>0.01</v>
          </cell>
          <cell r="M57">
            <v>0.01</v>
          </cell>
          <cell r="N57">
            <v>0.01</v>
          </cell>
          <cell r="O57">
            <v>0.01</v>
          </cell>
          <cell r="P57">
            <v>0.01</v>
          </cell>
          <cell r="Q57">
            <v>0.01</v>
          </cell>
          <cell r="R57">
            <v>0.01</v>
          </cell>
          <cell r="S57">
            <v>0.01</v>
          </cell>
          <cell r="T57">
            <v>0.01</v>
          </cell>
          <cell r="V57"/>
          <cell r="X57">
            <v>0.01</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V58"/>
          <cell r="X58">
            <v>0</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V59"/>
          <cell r="X59">
            <v>0</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V60"/>
          <cell r="X60">
            <v>0</v>
          </cell>
        </row>
        <row r="61">
          <cell r="B61" t="str">
            <v>Top Daylighting-New</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V61"/>
          <cell r="X61">
            <v>0</v>
          </cell>
        </row>
        <row r="62">
          <cell r="B62" t="str">
            <v>Perimeter Daylighting Controls Advanced-New</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V62"/>
          <cell r="X62">
            <v>0</v>
          </cell>
        </row>
        <row r="63">
          <cell r="B63" t="str">
            <v>Perimeter Daylighting Controls Advanced-NR</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V63"/>
          <cell r="X63">
            <v>0</v>
          </cell>
        </row>
        <row r="64">
          <cell r="B64" t="str">
            <v>Lighting Controls Interior-New</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V64"/>
          <cell r="X64">
            <v>0</v>
          </cell>
        </row>
        <row r="65">
          <cell r="B65" t="str">
            <v>Lighting Controls Interior-NR</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V65"/>
          <cell r="X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V66"/>
          <cell r="X66">
            <v>0</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V67"/>
          <cell r="X67">
            <v>0</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0.5</v>
          </cell>
          <cell r="V68"/>
          <cell r="X68">
            <v>0</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1</v>
          </cell>
          <cell r="V69"/>
          <cell r="X69">
            <v>0</v>
          </cell>
        </row>
        <row r="70">
          <cell r="B70" t="str">
            <v>Parking Lighting-New</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V70"/>
          <cell r="X70">
            <v>0</v>
          </cell>
        </row>
        <row r="71">
          <cell r="B71" t="str">
            <v>Parking Lighting-NR</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V71"/>
          <cell r="X71">
            <v>0</v>
          </cell>
        </row>
        <row r="72">
          <cell r="B72" t="str">
            <v>Luminaire Level Lighting Controls-Retro</v>
          </cell>
          <cell r="C72">
            <v>0.01</v>
          </cell>
          <cell r="D72">
            <v>0.01</v>
          </cell>
          <cell r="E72">
            <v>0.01</v>
          </cell>
          <cell r="F72">
            <v>0.01</v>
          </cell>
          <cell r="G72">
            <v>0.01</v>
          </cell>
          <cell r="H72">
            <v>0.01</v>
          </cell>
          <cell r="I72">
            <v>0.01</v>
          </cell>
          <cell r="J72">
            <v>0.01</v>
          </cell>
          <cell r="K72">
            <v>0.01</v>
          </cell>
          <cell r="L72">
            <v>0.01</v>
          </cell>
          <cell r="M72">
            <v>0.01</v>
          </cell>
          <cell r="N72">
            <v>0.01</v>
          </cell>
          <cell r="O72">
            <v>0.01</v>
          </cell>
          <cell r="P72">
            <v>0.01</v>
          </cell>
          <cell r="Q72">
            <v>0.01</v>
          </cell>
          <cell r="R72">
            <v>0.01</v>
          </cell>
          <cell r="S72">
            <v>0.01</v>
          </cell>
          <cell r="T72">
            <v>0.01</v>
          </cell>
          <cell r="V72"/>
          <cell r="X72">
            <v>0.01</v>
          </cell>
        </row>
        <row r="73">
          <cell r="B73" t="str">
            <v>ECM on VAV Boxes-New</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V73"/>
          <cell r="X73">
            <v>0</v>
          </cell>
        </row>
        <row r="74">
          <cell r="B74" t="str">
            <v>ECM on VAV Boxes-NR</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V74"/>
          <cell r="X74">
            <v>0</v>
          </cell>
        </row>
        <row r="75">
          <cell r="B75" t="str">
            <v>Pool pumps-Retro</v>
          </cell>
          <cell r="C75">
            <v>0.01</v>
          </cell>
          <cell r="D75">
            <v>0.01</v>
          </cell>
          <cell r="E75">
            <v>0.01</v>
          </cell>
          <cell r="F75">
            <v>0.01</v>
          </cell>
          <cell r="G75">
            <v>0.01</v>
          </cell>
          <cell r="H75">
            <v>0.01</v>
          </cell>
          <cell r="I75">
            <v>0.01</v>
          </cell>
          <cell r="J75">
            <v>0.01</v>
          </cell>
          <cell r="K75">
            <v>0.01</v>
          </cell>
          <cell r="L75">
            <v>0.01</v>
          </cell>
          <cell r="M75">
            <v>0.01</v>
          </cell>
          <cell r="N75">
            <v>0.01</v>
          </cell>
          <cell r="O75">
            <v>0.01</v>
          </cell>
          <cell r="P75">
            <v>0.01</v>
          </cell>
          <cell r="Q75">
            <v>0.01</v>
          </cell>
          <cell r="R75">
            <v>0.01</v>
          </cell>
          <cell r="S75">
            <v>0.01</v>
          </cell>
          <cell r="T75">
            <v>0.01</v>
          </cell>
          <cell r="V75"/>
          <cell r="X75">
            <v>0.01</v>
          </cell>
        </row>
        <row r="76">
          <cell r="B76" t="str">
            <v>Switched Reluctance/Permanent Magnet Motors-Retro</v>
          </cell>
          <cell r="C76">
            <v>0.01</v>
          </cell>
          <cell r="D76">
            <v>0.01</v>
          </cell>
          <cell r="E76">
            <v>0.01</v>
          </cell>
          <cell r="F76">
            <v>0.01</v>
          </cell>
          <cell r="G76">
            <v>0.01</v>
          </cell>
          <cell r="H76">
            <v>0.01</v>
          </cell>
          <cell r="I76">
            <v>0.01</v>
          </cell>
          <cell r="J76">
            <v>0.01</v>
          </cell>
          <cell r="K76">
            <v>0.01</v>
          </cell>
          <cell r="L76">
            <v>0.01</v>
          </cell>
          <cell r="M76">
            <v>0.01</v>
          </cell>
          <cell r="N76">
            <v>0.01</v>
          </cell>
          <cell r="O76">
            <v>0.01</v>
          </cell>
          <cell r="P76">
            <v>0.01</v>
          </cell>
          <cell r="Q76">
            <v>0.01</v>
          </cell>
          <cell r="R76">
            <v>0.01</v>
          </cell>
          <cell r="S76">
            <v>0.01</v>
          </cell>
          <cell r="T76">
            <v>0.01</v>
          </cell>
          <cell r="U76"/>
          <cell r="V76"/>
          <cell r="X76">
            <v>0.01</v>
          </cell>
        </row>
        <row r="77">
          <cell r="B77" t="str">
            <v>Motors - Rewind-NR</v>
          </cell>
          <cell r="C77">
            <v>0.01</v>
          </cell>
          <cell r="D77">
            <v>0.01</v>
          </cell>
          <cell r="E77">
            <v>0.01</v>
          </cell>
          <cell r="F77">
            <v>0.01</v>
          </cell>
          <cell r="G77">
            <v>0.01</v>
          </cell>
          <cell r="H77">
            <v>0.01</v>
          </cell>
          <cell r="I77">
            <v>0.01</v>
          </cell>
          <cell r="J77">
            <v>0.01</v>
          </cell>
          <cell r="K77">
            <v>0.01</v>
          </cell>
          <cell r="L77">
            <v>0.01</v>
          </cell>
          <cell r="M77">
            <v>0.01</v>
          </cell>
          <cell r="N77">
            <v>0.01</v>
          </cell>
          <cell r="O77">
            <v>0.01</v>
          </cell>
          <cell r="P77">
            <v>0.01</v>
          </cell>
          <cell r="Q77">
            <v>0.01</v>
          </cell>
          <cell r="R77">
            <v>0.01</v>
          </cell>
          <cell r="S77">
            <v>0.01</v>
          </cell>
          <cell r="T77">
            <v>0.01</v>
          </cell>
          <cell r="U77"/>
          <cell r="V77"/>
          <cell r="X77">
            <v>0.01</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1</v>
          </cell>
          <cell r="V78"/>
          <cell r="X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v>
          </cell>
          <cell r="V79"/>
          <cell r="X79">
            <v>0</v>
          </cell>
        </row>
        <row r="80">
          <cell r="B80" t="str">
            <v>Engine Generator Block Heaters-Retro</v>
          </cell>
          <cell r="C80">
            <v>0.01</v>
          </cell>
          <cell r="D80">
            <v>0.01</v>
          </cell>
          <cell r="E80">
            <v>0.01</v>
          </cell>
          <cell r="F80">
            <v>0.01</v>
          </cell>
          <cell r="G80">
            <v>0.01</v>
          </cell>
          <cell r="H80">
            <v>0.01</v>
          </cell>
          <cell r="I80">
            <v>0.01</v>
          </cell>
          <cell r="J80">
            <v>0.01</v>
          </cell>
          <cell r="K80">
            <v>0.01</v>
          </cell>
          <cell r="L80">
            <v>0.01</v>
          </cell>
          <cell r="M80">
            <v>0.01</v>
          </cell>
          <cell r="N80">
            <v>0.01</v>
          </cell>
          <cell r="O80">
            <v>0.01</v>
          </cell>
          <cell r="P80">
            <v>0.01</v>
          </cell>
          <cell r="Q80">
            <v>0.01</v>
          </cell>
          <cell r="R80">
            <v>0.01</v>
          </cell>
          <cell r="S80">
            <v>0.01</v>
          </cell>
          <cell r="T80">
            <v>0.01</v>
          </cell>
          <cell r="U80"/>
          <cell r="V80"/>
          <cell r="X80">
            <v>0.01</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cell r="X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cell r="X82">
            <v>0</v>
          </cell>
        </row>
        <row r="83">
          <cell r="B83" t="str">
            <v>Appliances - Freezers-NR</v>
          </cell>
          <cell r="C83">
            <v>0.01</v>
          </cell>
          <cell r="D83">
            <v>0.01</v>
          </cell>
          <cell r="E83">
            <v>0.01</v>
          </cell>
          <cell r="F83">
            <v>0.01</v>
          </cell>
          <cell r="G83">
            <v>0.01</v>
          </cell>
          <cell r="H83">
            <v>0.01</v>
          </cell>
          <cell r="I83">
            <v>0.01</v>
          </cell>
          <cell r="J83">
            <v>0.01</v>
          </cell>
          <cell r="K83">
            <v>0.01</v>
          </cell>
          <cell r="L83">
            <v>0.01</v>
          </cell>
          <cell r="M83">
            <v>0.01</v>
          </cell>
          <cell r="N83">
            <v>0.01</v>
          </cell>
          <cell r="O83">
            <v>0.01</v>
          </cell>
          <cell r="P83">
            <v>0.01</v>
          </cell>
          <cell r="Q83">
            <v>0.01</v>
          </cell>
          <cell r="R83">
            <v>0.01</v>
          </cell>
          <cell r="S83">
            <v>0.01</v>
          </cell>
          <cell r="T83">
            <v>0.01</v>
          </cell>
          <cell r="U83" t="e">
            <v>#VALUE!</v>
          </cell>
          <cell r="V83"/>
          <cell r="X83">
            <v>0.01</v>
          </cell>
        </row>
        <row r="84">
          <cell r="B84" t="str">
            <v>Appliances - Refrigerators-NR</v>
          </cell>
          <cell r="C84">
            <v>0.01</v>
          </cell>
          <cell r="D84">
            <v>0.01</v>
          </cell>
          <cell r="E84">
            <v>0.01</v>
          </cell>
          <cell r="F84">
            <v>0.01</v>
          </cell>
          <cell r="G84">
            <v>0.01</v>
          </cell>
          <cell r="H84">
            <v>0.01</v>
          </cell>
          <cell r="I84">
            <v>0.01</v>
          </cell>
          <cell r="J84">
            <v>0.01</v>
          </cell>
          <cell r="K84">
            <v>0.01</v>
          </cell>
          <cell r="L84">
            <v>0.01</v>
          </cell>
          <cell r="M84">
            <v>0.01</v>
          </cell>
          <cell r="N84">
            <v>0.01</v>
          </cell>
          <cell r="O84">
            <v>0.01</v>
          </cell>
          <cell r="P84">
            <v>0.01</v>
          </cell>
          <cell r="Q84">
            <v>0.01</v>
          </cell>
          <cell r="R84">
            <v>0.01</v>
          </cell>
          <cell r="S84">
            <v>0.01</v>
          </cell>
          <cell r="T84">
            <v>0.01</v>
          </cell>
          <cell r="U84" t="e">
            <v>#VALUE!</v>
          </cell>
          <cell r="V84"/>
          <cell r="X84">
            <v>0.01</v>
          </cell>
        </row>
        <row r="85">
          <cell r="B85" t="str">
            <v>Water Cooler Controls-Retro</v>
          </cell>
          <cell r="C85">
            <v>0.01</v>
          </cell>
          <cell r="D85">
            <v>0.01</v>
          </cell>
          <cell r="E85">
            <v>0.01</v>
          </cell>
          <cell r="F85">
            <v>0.01</v>
          </cell>
          <cell r="G85">
            <v>0.01</v>
          </cell>
          <cell r="H85">
            <v>0.01</v>
          </cell>
          <cell r="I85">
            <v>0.01</v>
          </cell>
          <cell r="J85">
            <v>0.01</v>
          </cell>
          <cell r="K85">
            <v>0.01</v>
          </cell>
          <cell r="L85">
            <v>0.01</v>
          </cell>
          <cell r="M85">
            <v>0.01</v>
          </cell>
          <cell r="N85">
            <v>0.01</v>
          </cell>
          <cell r="O85">
            <v>0.01</v>
          </cell>
          <cell r="P85">
            <v>0.01</v>
          </cell>
          <cell r="Q85">
            <v>0.01</v>
          </cell>
          <cell r="R85">
            <v>0.01</v>
          </cell>
          <cell r="S85">
            <v>0.01</v>
          </cell>
          <cell r="T85">
            <v>0.01</v>
          </cell>
          <cell r="U85" t="e">
            <v>#VALUE!</v>
          </cell>
          <cell r="V85"/>
          <cell r="X85">
            <v>0.01</v>
          </cell>
        </row>
        <row r="86">
          <cell r="B86" t="str">
            <v>Commercial Clothes Washers-New</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cell r="X86">
            <v>0</v>
          </cell>
        </row>
        <row r="87">
          <cell r="B87" t="str">
            <v>DHW - Efficient Tanks-Retro</v>
          </cell>
          <cell r="C87">
            <v>0.01</v>
          </cell>
          <cell r="D87">
            <v>0.01</v>
          </cell>
          <cell r="E87">
            <v>0.01</v>
          </cell>
          <cell r="F87">
            <v>0.01</v>
          </cell>
          <cell r="G87">
            <v>0.01</v>
          </cell>
          <cell r="H87">
            <v>0.01</v>
          </cell>
          <cell r="I87">
            <v>0.01</v>
          </cell>
          <cell r="J87">
            <v>0.01</v>
          </cell>
          <cell r="K87">
            <v>0.01</v>
          </cell>
          <cell r="L87">
            <v>0.01</v>
          </cell>
          <cell r="M87">
            <v>0.01</v>
          </cell>
          <cell r="N87">
            <v>0.01</v>
          </cell>
          <cell r="O87">
            <v>0.01</v>
          </cell>
          <cell r="P87">
            <v>0.01</v>
          </cell>
          <cell r="Q87">
            <v>0.01</v>
          </cell>
          <cell r="R87">
            <v>0.01</v>
          </cell>
          <cell r="S87">
            <v>0.01</v>
          </cell>
          <cell r="T87">
            <v>0.01</v>
          </cell>
          <cell r="U87" t="e">
            <v>#VALUE!</v>
          </cell>
          <cell r="V87"/>
          <cell r="X87">
            <v>0.01</v>
          </cell>
        </row>
        <row r="88">
          <cell r="B88" t="str">
            <v>Appliances - Clothes Washers-NR</v>
          </cell>
          <cell r="C88">
            <v>0.01</v>
          </cell>
          <cell r="D88">
            <v>0.01</v>
          </cell>
          <cell r="E88">
            <v>0.01</v>
          </cell>
          <cell r="F88">
            <v>0.01</v>
          </cell>
          <cell r="G88">
            <v>0.01</v>
          </cell>
          <cell r="H88">
            <v>0.01</v>
          </cell>
          <cell r="I88">
            <v>0.01</v>
          </cell>
          <cell r="J88">
            <v>0.01</v>
          </cell>
          <cell r="K88">
            <v>0.01</v>
          </cell>
          <cell r="L88">
            <v>0.01</v>
          </cell>
          <cell r="M88">
            <v>0.01</v>
          </cell>
          <cell r="N88">
            <v>0.01</v>
          </cell>
          <cell r="O88">
            <v>0.01</v>
          </cell>
          <cell r="P88">
            <v>0.01</v>
          </cell>
          <cell r="Q88">
            <v>0.01</v>
          </cell>
          <cell r="R88">
            <v>0.01</v>
          </cell>
          <cell r="S88">
            <v>0.01</v>
          </cell>
          <cell r="T88">
            <v>0.01</v>
          </cell>
          <cell r="U88" t="e">
            <v>#VALUE!</v>
          </cell>
          <cell r="V88"/>
          <cell r="X88">
            <v>0.01</v>
          </cell>
        </row>
        <row r="89">
          <cell r="B89" t="str">
            <v>DHW - Showerheads-Retro</v>
          </cell>
          <cell r="C89">
            <v>0.01</v>
          </cell>
          <cell r="D89">
            <v>0.01</v>
          </cell>
          <cell r="E89">
            <v>0.01</v>
          </cell>
          <cell r="F89">
            <v>0.01</v>
          </cell>
          <cell r="G89">
            <v>0.01</v>
          </cell>
          <cell r="H89">
            <v>0.01</v>
          </cell>
          <cell r="I89">
            <v>0.01</v>
          </cell>
          <cell r="J89">
            <v>0.01</v>
          </cell>
          <cell r="K89">
            <v>0.01</v>
          </cell>
          <cell r="L89">
            <v>0.01</v>
          </cell>
          <cell r="M89">
            <v>0.01</v>
          </cell>
          <cell r="N89">
            <v>0.01</v>
          </cell>
          <cell r="O89">
            <v>0.01</v>
          </cell>
          <cell r="P89">
            <v>0.01</v>
          </cell>
          <cell r="Q89">
            <v>0.01</v>
          </cell>
          <cell r="R89">
            <v>0.01</v>
          </cell>
          <cell r="S89">
            <v>0.01</v>
          </cell>
          <cell r="T89">
            <v>0.01</v>
          </cell>
          <cell r="U89" t="e">
            <v>#VALUE!</v>
          </cell>
          <cell r="V89"/>
          <cell r="X89">
            <v>0.01</v>
          </cell>
        </row>
        <row r="90">
          <cell r="B90" t="str">
            <v>Water Heating - GFHX-New</v>
          </cell>
          <cell r="C90">
            <v>0.01</v>
          </cell>
          <cell r="D90">
            <v>0.01</v>
          </cell>
          <cell r="E90">
            <v>0.01</v>
          </cell>
          <cell r="F90">
            <v>0.01</v>
          </cell>
          <cell r="G90">
            <v>0.01</v>
          </cell>
          <cell r="H90">
            <v>0.01</v>
          </cell>
          <cell r="I90">
            <v>0.01</v>
          </cell>
          <cell r="J90">
            <v>0.01</v>
          </cell>
          <cell r="K90">
            <v>0.01</v>
          </cell>
          <cell r="L90">
            <v>0.01</v>
          </cell>
          <cell r="M90">
            <v>0.01</v>
          </cell>
          <cell r="N90">
            <v>0.01</v>
          </cell>
          <cell r="O90">
            <v>0.01</v>
          </cell>
          <cell r="P90">
            <v>0.01</v>
          </cell>
          <cell r="Q90">
            <v>0.01</v>
          </cell>
          <cell r="R90">
            <v>0.01</v>
          </cell>
          <cell r="S90">
            <v>0.01</v>
          </cell>
          <cell r="T90">
            <v>0.01</v>
          </cell>
          <cell r="U90" t="e">
            <v>#VALUE!</v>
          </cell>
          <cell r="V90"/>
          <cell r="X90">
            <v>0.01</v>
          </cell>
        </row>
        <row r="91">
          <cell r="B91" t="str">
            <v>Demand Control Circulating system DHW-Retro</v>
          </cell>
          <cell r="C91">
            <v>0.01</v>
          </cell>
          <cell r="D91">
            <v>0.01</v>
          </cell>
          <cell r="E91">
            <v>0.01</v>
          </cell>
          <cell r="F91">
            <v>0.01</v>
          </cell>
          <cell r="G91">
            <v>0.01</v>
          </cell>
          <cell r="H91">
            <v>0.01</v>
          </cell>
          <cell r="I91">
            <v>0.01</v>
          </cell>
          <cell r="J91">
            <v>0.01</v>
          </cell>
          <cell r="K91">
            <v>0.01</v>
          </cell>
          <cell r="L91">
            <v>0.01</v>
          </cell>
          <cell r="M91">
            <v>0.01</v>
          </cell>
          <cell r="N91">
            <v>0.01</v>
          </cell>
          <cell r="O91">
            <v>0.01</v>
          </cell>
          <cell r="P91">
            <v>0.01</v>
          </cell>
          <cell r="Q91">
            <v>0.01</v>
          </cell>
          <cell r="R91">
            <v>0.01</v>
          </cell>
          <cell r="S91">
            <v>0.01</v>
          </cell>
          <cell r="T91">
            <v>0.01</v>
          </cell>
          <cell r="U91" t="e">
            <v>#VALUE!</v>
          </cell>
          <cell r="V91"/>
          <cell r="X91">
            <v>0.01</v>
          </cell>
        </row>
        <row r="92">
          <cell r="B92" t="str">
            <v>Central HPWH MF-Retro</v>
          </cell>
          <cell r="C92">
            <v>0.01</v>
          </cell>
          <cell r="D92">
            <v>0.01</v>
          </cell>
          <cell r="E92">
            <v>0.01</v>
          </cell>
          <cell r="F92">
            <v>0.01</v>
          </cell>
          <cell r="G92">
            <v>0.01</v>
          </cell>
          <cell r="H92">
            <v>0.01</v>
          </cell>
          <cell r="I92">
            <v>0.01</v>
          </cell>
          <cell r="J92">
            <v>0.01</v>
          </cell>
          <cell r="K92">
            <v>0.01</v>
          </cell>
          <cell r="L92">
            <v>0.01</v>
          </cell>
          <cell r="M92">
            <v>0.01</v>
          </cell>
          <cell r="N92">
            <v>0.01</v>
          </cell>
          <cell r="O92">
            <v>0.01</v>
          </cell>
          <cell r="P92">
            <v>0.01</v>
          </cell>
          <cell r="Q92">
            <v>0.01</v>
          </cell>
          <cell r="R92">
            <v>0.01</v>
          </cell>
          <cell r="S92">
            <v>0.01</v>
          </cell>
          <cell r="T92">
            <v>0.01</v>
          </cell>
          <cell r="U92" t="e">
            <v>#VALUE!</v>
          </cell>
          <cell r="V92"/>
          <cell r="X92">
            <v>0.01</v>
          </cell>
        </row>
        <row r="93">
          <cell r="B93" t="str">
            <v>Integrated Building Design-New</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1</v>
          </cell>
          <cell r="V93"/>
          <cell r="X93">
            <v>0</v>
          </cell>
        </row>
        <row r="94">
          <cell r="B94"/>
          <cell r="C94"/>
          <cell r="D94"/>
          <cell r="E94"/>
          <cell r="F94"/>
          <cell r="G94"/>
          <cell r="H94"/>
          <cell r="I94"/>
          <cell r="J94"/>
          <cell r="K94"/>
          <cell r="L94"/>
          <cell r="M94"/>
          <cell r="N94"/>
          <cell r="O94"/>
          <cell r="P94"/>
          <cell r="Q94"/>
          <cell r="R94"/>
          <cell r="S94"/>
          <cell r="T94"/>
          <cell r="U94"/>
          <cell r="V94"/>
          <cell r="X94"/>
        </row>
        <row r="95">
          <cell r="B95"/>
          <cell r="C95"/>
          <cell r="D95"/>
          <cell r="E95"/>
          <cell r="F95"/>
          <cell r="G95"/>
          <cell r="H95"/>
          <cell r="I95"/>
          <cell r="J95"/>
          <cell r="K95"/>
          <cell r="L95"/>
          <cell r="M95"/>
          <cell r="N95"/>
          <cell r="O95"/>
          <cell r="P95"/>
          <cell r="Q95"/>
          <cell r="R95"/>
          <cell r="S95"/>
          <cell r="T95"/>
          <cell r="U95"/>
          <cell r="V95"/>
          <cell r="X95"/>
        </row>
        <row r="96">
          <cell r="B96"/>
          <cell r="C96"/>
          <cell r="D96"/>
          <cell r="E96"/>
          <cell r="F96"/>
          <cell r="G96"/>
          <cell r="H96"/>
          <cell r="I96"/>
          <cell r="J96"/>
          <cell r="K96"/>
          <cell r="L96"/>
          <cell r="M96"/>
          <cell r="N96"/>
          <cell r="O96"/>
          <cell r="P96"/>
          <cell r="Q96"/>
          <cell r="R96"/>
          <cell r="S96"/>
          <cell r="T96"/>
          <cell r="U96"/>
          <cell r="V96"/>
          <cell r="X96"/>
        </row>
        <row r="97">
          <cell r="B97"/>
          <cell r="C97"/>
          <cell r="D97"/>
          <cell r="E97"/>
          <cell r="F97"/>
          <cell r="G97"/>
          <cell r="H97"/>
          <cell r="I97"/>
          <cell r="J97"/>
          <cell r="K97"/>
          <cell r="L97"/>
          <cell r="M97"/>
          <cell r="N97"/>
          <cell r="O97"/>
          <cell r="P97"/>
          <cell r="Q97"/>
          <cell r="R97"/>
          <cell r="S97"/>
          <cell r="T97"/>
          <cell r="U97"/>
          <cell r="V97"/>
          <cell r="X97"/>
        </row>
        <row r="98">
          <cell r="B98"/>
          <cell r="C98"/>
          <cell r="D98"/>
          <cell r="E98"/>
          <cell r="F98"/>
          <cell r="G98"/>
          <cell r="H98"/>
          <cell r="I98"/>
          <cell r="J98"/>
          <cell r="K98"/>
          <cell r="L98"/>
          <cell r="M98"/>
          <cell r="N98"/>
          <cell r="O98"/>
          <cell r="P98"/>
          <cell r="Q98"/>
          <cell r="R98"/>
          <cell r="S98"/>
          <cell r="T98"/>
          <cell r="U98"/>
          <cell r="V98"/>
          <cell r="X98"/>
        </row>
        <row r="99">
          <cell r="B99"/>
          <cell r="C99"/>
          <cell r="D99"/>
          <cell r="E99"/>
          <cell r="F99"/>
          <cell r="G99"/>
          <cell r="H99"/>
          <cell r="I99"/>
          <cell r="J99"/>
          <cell r="K99"/>
          <cell r="L99"/>
          <cell r="M99"/>
          <cell r="N99"/>
          <cell r="O99"/>
          <cell r="P99"/>
          <cell r="Q99"/>
          <cell r="R99"/>
          <cell r="S99"/>
          <cell r="T99"/>
          <cell r="U99"/>
          <cell r="V99"/>
          <cell r="X99"/>
        </row>
        <row r="100">
          <cell r="B100"/>
          <cell r="C100"/>
          <cell r="D100"/>
          <cell r="E100"/>
          <cell r="F100"/>
          <cell r="G100"/>
          <cell r="H100"/>
          <cell r="I100"/>
          <cell r="J100"/>
          <cell r="K100"/>
          <cell r="L100"/>
          <cell r="M100"/>
          <cell r="N100"/>
          <cell r="O100"/>
          <cell r="P100"/>
          <cell r="Q100"/>
          <cell r="R100"/>
          <cell r="S100"/>
          <cell r="T100"/>
          <cell r="U100"/>
          <cell r="V100"/>
          <cell r="X100"/>
        </row>
        <row r="101">
          <cell r="B101"/>
          <cell r="C101"/>
          <cell r="D101"/>
          <cell r="E101"/>
          <cell r="F101"/>
          <cell r="G101"/>
          <cell r="H101"/>
          <cell r="I101"/>
          <cell r="J101"/>
          <cell r="K101"/>
          <cell r="L101"/>
          <cell r="M101"/>
          <cell r="N101"/>
          <cell r="O101"/>
          <cell r="P101"/>
          <cell r="Q101"/>
          <cell r="R101"/>
          <cell r="S101"/>
          <cell r="T101"/>
          <cell r="U101"/>
          <cell r="V101"/>
          <cell r="X101"/>
        </row>
        <row r="102">
          <cell r="B102"/>
          <cell r="C102"/>
          <cell r="D102"/>
          <cell r="E102"/>
          <cell r="F102"/>
          <cell r="G102"/>
          <cell r="H102"/>
          <cell r="I102"/>
          <cell r="J102"/>
          <cell r="K102"/>
          <cell r="L102"/>
          <cell r="M102"/>
          <cell r="N102"/>
          <cell r="O102"/>
          <cell r="P102"/>
          <cell r="Q102"/>
          <cell r="R102"/>
          <cell r="S102"/>
          <cell r="T102"/>
          <cell r="U102"/>
          <cell r="V102"/>
          <cell r="X102"/>
        </row>
        <row r="103">
          <cell r="B103"/>
          <cell r="C103"/>
          <cell r="D103"/>
          <cell r="E103"/>
          <cell r="F103"/>
          <cell r="G103"/>
          <cell r="H103"/>
          <cell r="I103"/>
          <cell r="J103"/>
          <cell r="K103"/>
          <cell r="L103"/>
          <cell r="M103"/>
          <cell r="N103"/>
          <cell r="O103"/>
          <cell r="P103"/>
          <cell r="Q103"/>
          <cell r="R103"/>
          <cell r="S103"/>
          <cell r="T103"/>
        </row>
        <row r="104">
          <cell r="B104"/>
          <cell r="C104"/>
          <cell r="D104"/>
          <cell r="E104"/>
          <cell r="F104"/>
          <cell r="G104"/>
          <cell r="H104"/>
          <cell r="I104"/>
          <cell r="J104"/>
          <cell r="K104"/>
          <cell r="L104"/>
          <cell r="M104"/>
          <cell r="N104"/>
          <cell r="O104"/>
          <cell r="P104"/>
          <cell r="Q104"/>
          <cell r="R104"/>
          <cell r="S104"/>
          <cell r="T104"/>
        </row>
        <row r="105">
          <cell r="B105"/>
          <cell r="C105"/>
          <cell r="D105"/>
          <cell r="E105"/>
          <cell r="F105"/>
          <cell r="G105"/>
          <cell r="H105"/>
          <cell r="I105"/>
          <cell r="J105"/>
          <cell r="K105"/>
          <cell r="L105"/>
          <cell r="M105"/>
          <cell r="N105"/>
          <cell r="O105"/>
          <cell r="P105"/>
          <cell r="Q105"/>
          <cell r="R105"/>
          <cell r="S105"/>
          <cell r="T105"/>
        </row>
        <row r="106">
          <cell r="B106"/>
          <cell r="C106"/>
          <cell r="D106"/>
          <cell r="E106"/>
          <cell r="F106"/>
          <cell r="G106"/>
          <cell r="H106"/>
          <cell r="I106"/>
          <cell r="J106"/>
          <cell r="K106"/>
          <cell r="L106"/>
          <cell r="M106"/>
          <cell r="N106"/>
          <cell r="O106"/>
          <cell r="P106"/>
          <cell r="Q106"/>
          <cell r="R106"/>
          <cell r="S106"/>
          <cell r="T106"/>
        </row>
        <row r="107">
          <cell r="B107"/>
          <cell r="C107"/>
          <cell r="D107"/>
          <cell r="E107"/>
          <cell r="F107"/>
          <cell r="G107"/>
          <cell r="H107"/>
          <cell r="I107"/>
          <cell r="J107"/>
          <cell r="K107"/>
          <cell r="L107"/>
          <cell r="M107"/>
          <cell r="N107"/>
          <cell r="O107"/>
          <cell r="P107"/>
          <cell r="Q107"/>
          <cell r="R107"/>
          <cell r="S107"/>
          <cell r="T107"/>
        </row>
        <row r="108">
          <cell r="B108"/>
          <cell r="C108"/>
          <cell r="D108"/>
          <cell r="E108"/>
          <cell r="F108"/>
          <cell r="G108"/>
          <cell r="H108"/>
          <cell r="I108"/>
          <cell r="J108"/>
          <cell r="K108"/>
          <cell r="L108"/>
          <cell r="M108"/>
          <cell r="N108"/>
          <cell r="O108"/>
          <cell r="P108"/>
          <cell r="Q108"/>
          <cell r="R108"/>
          <cell r="S108"/>
          <cell r="T108"/>
        </row>
        <row r="109">
          <cell r="B109"/>
          <cell r="C109"/>
          <cell r="D109"/>
          <cell r="E109"/>
          <cell r="F109"/>
          <cell r="G109"/>
          <cell r="H109"/>
          <cell r="I109"/>
          <cell r="J109"/>
          <cell r="K109"/>
          <cell r="L109"/>
          <cell r="M109"/>
          <cell r="N109"/>
          <cell r="O109"/>
          <cell r="P109"/>
          <cell r="Q109"/>
          <cell r="R109"/>
          <cell r="S109"/>
          <cell r="T109"/>
        </row>
        <row r="110">
          <cell r="C110"/>
          <cell r="D110"/>
          <cell r="E110"/>
          <cell r="F110"/>
          <cell r="G110"/>
          <cell r="H110"/>
          <cell r="I110"/>
          <cell r="J110"/>
          <cell r="K110"/>
          <cell r="L110"/>
          <cell r="M110"/>
          <cell r="N110"/>
          <cell r="O110"/>
          <cell r="P110"/>
          <cell r="Q110"/>
          <cell r="R110"/>
          <cell r="S110"/>
          <cell r="T110"/>
        </row>
        <row r="111">
          <cell r="C111"/>
          <cell r="D111"/>
          <cell r="E111"/>
          <cell r="F111"/>
          <cell r="G111"/>
          <cell r="H111"/>
          <cell r="I111"/>
          <cell r="J111"/>
          <cell r="K111"/>
          <cell r="L111"/>
          <cell r="M111"/>
          <cell r="N111"/>
          <cell r="O111"/>
          <cell r="P111"/>
          <cell r="Q111"/>
          <cell r="R111"/>
          <cell r="S111"/>
          <cell r="T111"/>
        </row>
        <row r="112">
          <cell r="C112"/>
          <cell r="D112"/>
          <cell r="E112"/>
          <cell r="F112"/>
          <cell r="G112"/>
          <cell r="H112"/>
          <cell r="I112"/>
          <cell r="J112"/>
          <cell r="K112"/>
          <cell r="L112"/>
          <cell r="M112"/>
          <cell r="N112"/>
          <cell r="O112"/>
          <cell r="P112"/>
          <cell r="Q112"/>
          <cell r="R112"/>
          <cell r="S112"/>
          <cell r="T112"/>
        </row>
      </sheetData>
      <sheetData sheetId="5"/>
      <sheetData sheetId="6"/>
      <sheetData sheetId="7">
        <row r="12">
          <cell r="B12" t="str">
            <v>Compressed Air Controls-Retro</v>
          </cell>
          <cell r="C12"/>
          <cell r="D12"/>
          <cell r="E12"/>
          <cell r="F12"/>
          <cell r="G12"/>
          <cell r="H12"/>
          <cell r="I12"/>
          <cell r="J12"/>
          <cell r="K12"/>
          <cell r="L12"/>
          <cell r="M12"/>
          <cell r="N12"/>
          <cell r="O12"/>
          <cell r="P12"/>
          <cell r="Q12"/>
          <cell r="R12"/>
          <cell r="S12"/>
          <cell r="T12"/>
          <cell r="U12"/>
        </row>
        <row r="13">
          <cell r="B13" t="str">
            <v>Compressed Air Improvements-Retro</v>
          </cell>
          <cell r="C13"/>
          <cell r="D13"/>
          <cell r="E13"/>
          <cell r="F13"/>
          <cell r="G13"/>
          <cell r="H13"/>
          <cell r="I13"/>
          <cell r="J13"/>
          <cell r="K13"/>
          <cell r="L13"/>
          <cell r="M13"/>
          <cell r="N13"/>
          <cell r="O13"/>
          <cell r="P13"/>
          <cell r="Q13"/>
          <cell r="R13"/>
          <cell r="S13"/>
          <cell r="T13"/>
          <cell r="U13"/>
        </row>
        <row r="14">
          <cell r="B14" t="str">
            <v>Network PC Power Management-Retro</v>
          </cell>
          <cell r="C14"/>
          <cell r="D14"/>
          <cell r="E14"/>
          <cell r="F14"/>
          <cell r="G14"/>
          <cell r="H14"/>
          <cell r="I14"/>
          <cell r="J14"/>
          <cell r="K14"/>
          <cell r="L14"/>
          <cell r="M14"/>
          <cell r="N14"/>
          <cell r="O14"/>
          <cell r="P14"/>
          <cell r="Q14"/>
          <cell r="R14"/>
          <cell r="S14"/>
          <cell r="T14"/>
          <cell r="U14"/>
        </row>
        <row r="15">
          <cell r="B15" t="str">
            <v>Computer Servers and IT-Retro</v>
          </cell>
          <cell r="C15"/>
          <cell r="D15"/>
          <cell r="E15"/>
          <cell r="F15"/>
          <cell r="G15"/>
          <cell r="H15"/>
          <cell r="I15"/>
          <cell r="J15"/>
          <cell r="K15"/>
          <cell r="L15"/>
          <cell r="M15"/>
          <cell r="N15"/>
          <cell r="O15"/>
          <cell r="P15"/>
          <cell r="Q15"/>
          <cell r="R15"/>
          <cell r="S15"/>
          <cell r="T15"/>
          <cell r="U15"/>
        </row>
        <row r="16">
          <cell r="B16" t="str">
            <v>Smart Plug Power Strips-Retro</v>
          </cell>
          <cell r="C16"/>
          <cell r="D16"/>
          <cell r="E16"/>
          <cell r="F16"/>
          <cell r="G16"/>
          <cell r="H16"/>
          <cell r="I16"/>
          <cell r="J16"/>
          <cell r="K16"/>
          <cell r="L16"/>
          <cell r="M16"/>
          <cell r="N16"/>
          <cell r="O16"/>
          <cell r="P16"/>
          <cell r="Q16"/>
          <cell r="R16"/>
          <cell r="S16"/>
          <cell r="T16"/>
          <cell r="U16">
            <v>0.2</v>
          </cell>
        </row>
        <row r="17">
          <cell r="B17" t="str">
            <v>Data Centers-Retro</v>
          </cell>
          <cell r="C17"/>
          <cell r="D17"/>
          <cell r="E17"/>
          <cell r="F17"/>
          <cell r="G17"/>
          <cell r="H17"/>
          <cell r="I17"/>
          <cell r="J17"/>
          <cell r="K17"/>
          <cell r="L17"/>
          <cell r="M17"/>
          <cell r="N17"/>
          <cell r="O17"/>
          <cell r="P17"/>
          <cell r="Q17"/>
          <cell r="R17"/>
          <cell r="S17"/>
          <cell r="T17"/>
          <cell r="U17"/>
        </row>
        <row r="18">
          <cell r="B18" t="str">
            <v>Average Commercial Computer Monitor-Retro</v>
          </cell>
          <cell r="C18"/>
          <cell r="D18"/>
          <cell r="E18"/>
          <cell r="F18"/>
          <cell r="G18"/>
          <cell r="H18"/>
          <cell r="I18"/>
          <cell r="J18"/>
          <cell r="K18"/>
          <cell r="L18"/>
          <cell r="M18"/>
          <cell r="N18"/>
          <cell r="O18"/>
          <cell r="P18"/>
          <cell r="Q18"/>
          <cell r="R18"/>
          <cell r="S18"/>
          <cell r="T18"/>
          <cell r="U18"/>
        </row>
        <row r="19">
          <cell r="B19" t="str">
            <v>Average Commercial Computer-Retro</v>
          </cell>
          <cell r="C19"/>
          <cell r="D19"/>
          <cell r="E19"/>
          <cell r="F19"/>
          <cell r="G19"/>
          <cell r="H19"/>
          <cell r="I19"/>
          <cell r="J19"/>
          <cell r="K19"/>
          <cell r="L19"/>
          <cell r="M19"/>
          <cell r="N19"/>
          <cell r="O19"/>
          <cell r="P19"/>
          <cell r="Q19"/>
          <cell r="R19"/>
          <cell r="S19"/>
          <cell r="T19"/>
          <cell r="U19"/>
        </row>
        <row r="20">
          <cell r="B20" t="str">
            <v>Pre-Rinse Spray Valve-Retro</v>
          </cell>
          <cell r="C20"/>
          <cell r="D20"/>
          <cell r="E20"/>
          <cell r="F20"/>
          <cell r="G20"/>
          <cell r="H20"/>
          <cell r="I20"/>
          <cell r="J20"/>
          <cell r="K20"/>
          <cell r="L20"/>
          <cell r="M20"/>
          <cell r="N20"/>
          <cell r="O20"/>
          <cell r="P20"/>
          <cell r="Q20"/>
          <cell r="R20"/>
          <cell r="S20"/>
          <cell r="T20"/>
          <cell r="U20">
            <v>0.2</v>
          </cell>
        </row>
        <row r="21">
          <cell r="B21" t="str">
            <v>Cooking Equipment-NR</v>
          </cell>
          <cell r="C21"/>
          <cell r="D21"/>
          <cell r="E21"/>
          <cell r="F21"/>
          <cell r="G21"/>
          <cell r="H21"/>
          <cell r="I21"/>
          <cell r="J21"/>
          <cell r="K21"/>
          <cell r="L21"/>
          <cell r="M21"/>
          <cell r="N21"/>
          <cell r="O21"/>
          <cell r="P21"/>
          <cell r="Q21"/>
          <cell r="R21"/>
          <cell r="S21"/>
          <cell r="T21"/>
          <cell r="U21">
            <v>0.08</v>
          </cell>
        </row>
        <row r="22">
          <cell r="B22" t="str">
            <v>Premium HVAC Equipment-New</v>
          </cell>
          <cell r="C22">
            <v>3.3333333333333333E-2</v>
          </cell>
          <cell r="D22">
            <v>0.04</v>
          </cell>
          <cell r="E22">
            <v>0.05</v>
          </cell>
          <cell r="F22">
            <v>0.05</v>
          </cell>
          <cell r="G22">
            <v>0.05</v>
          </cell>
          <cell r="H22">
            <v>0.05</v>
          </cell>
          <cell r="I22">
            <v>3.3333333333333333E-2</v>
          </cell>
          <cell r="J22">
            <v>3.3333333333333333E-2</v>
          </cell>
          <cell r="K22">
            <v>3.3333333333333333E-2</v>
          </cell>
          <cell r="L22">
            <v>0.05</v>
          </cell>
          <cell r="M22">
            <v>0.05</v>
          </cell>
          <cell r="N22">
            <v>0.05</v>
          </cell>
          <cell r="O22">
            <v>0.05</v>
          </cell>
          <cell r="P22">
            <v>0.05</v>
          </cell>
          <cell r="Q22">
            <v>0.04</v>
          </cell>
          <cell r="R22">
            <v>0.04</v>
          </cell>
          <cell r="S22">
            <v>0.04</v>
          </cell>
          <cell r="T22">
            <v>0.04</v>
          </cell>
        </row>
        <row r="23">
          <cell r="B23" t="str">
            <v>Premium HVAC Equipment-NR</v>
          </cell>
          <cell r="C23">
            <v>3.3333333333333333E-2</v>
          </cell>
          <cell r="D23">
            <v>0.04</v>
          </cell>
          <cell r="E23">
            <v>0.05</v>
          </cell>
          <cell r="F23">
            <v>0.05</v>
          </cell>
          <cell r="G23">
            <v>0.05</v>
          </cell>
          <cell r="H23">
            <v>0.05</v>
          </cell>
          <cell r="I23">
            <v>3.3333333333333333E-2</v>
          </cell>
          <cell r="J23">
            <v>3.3333333333333333E-2</v>
          </cell>
          <cell r="K23">
            <v>3.3333333333333333E-2</v>
          </cell>
          <cell r="L23">
            <v>0.05</v>
          </cell>
          <cell r="M23">
            <v>0.05</v>
          </cell>
          <cell r="N23">
            <v>0.05</v>
          </cell>
          <cell r="O23">
            <v>0.05</v>
          </cell>
          <cell r="P23">
            <v>0.05</v>
          </cell>
          <cell r="Q23">
            <v>0.04</v>
          </cell>
          <cell r="R23">
            <v>0.04</v>
          </cell>
          <cell r="S23">
            <v>0.04</v>
          </cell>
          <cell r="T23">
            <v>0.04</v>
          </cell>
        </row>
        <row r="24">
          <cell r="B24" t="str">
            <v>Glass-New</v>
          </cell>
          <cell r="C24"/>
          <cell r="D24"/>
          <cell r="E24"/>
          <cell r="F24"/>
          <cell r="G24"/>
          <cell r="H24"/>
          <cell r="I24"/>
          <cell r="J24"/>
          <cell r="K24"/>
          <cell r="L24"/>
          <cell r="M24"/>
          <cell r="N24"/>
          <cell r="O24"/>
          <cell r="P24"/>
          <cell r="Q24"/>
          <cell r="R24"/>
          <cell r="S24"/>
          <cell r="T24"/>
          <cell r="U24"/>
        </row>
        <row r="25">
          <cell r="B25" t="str">
            <v>Glass-NR</v>
          </cell>
          <cell r="C25"/>
          <cell r="D25"/>
          <cell r="E25"/>
          <cell r="F25"/>
          <cell r="G25"/>
          <cell r="H25"/>
          <cell r="I25"/>
          <cell r="J25"/>
          <cell r="K25"/>
          <cell r="L25"/>
          <cell r="M25"/>
          <cell r="N25"/>
          <cell r="O25"/>
          <cell r="P25"/>
          <cell r="Q25"/>
          <cell r="R25"/>
          <cell r="S25"/>
          <cell r="T25"/>
          <cell r="U25"/>
        </row>
        <row r="26">
          <cell r="B26" t="str">
            <v>Glass-Retro</v>
          </cell>
          <cell r="C26"/>
          <cell r="D26"/>
          <cell r="E26"/>
          <cell r="F26"/>
          <cell r="G26"/>
          <cell r="H26"/>
          <cell r="I26"/>
          <cell r="J26"/>
          <cell r="K26"/>
          <cell r="L26"/>
          <cell r="M26"/>
          <cell r="N26"/>
          <cell r="O26"/>
          <cell r="P26"/>
          <cell r="Q26"/>
          <cell r="R26"/>
          <cell r="S26"/>
          <cell r="T26"/>
          <cell r="U26"/>
        </row>
        <row r="27">
          <cell r="B27" t="str">
            <v>Advanced Rooftop Controller-New</v>
          </cell>
          <cell r="C27">
            <v>6.6666666666666666E-2</v>
          </cell>
          <cell r="D27">
            <v>6.6666666666666666E-2</v>
          </cell>
          <cell r="E27">
            <v>6.6666666666666666E-2</v>
          </cell>
          <cell r="F27">
            <v>6.6666666666666666E-2</v>
          </cell>
          <cell r="G27">
            <v>6.6666666666666666E-2</v>
          </cell>
          <cell r="H27">
            <v>6.6666666666666666E-2</v>
          </cell>
          <cell r="I27">
            <v>6.6666666666666666E-2</v>
          </cell>
          <cell r="J27">
            <v>6.6666666666666666E-2</v>
          </cell>
          <cell r="K27">
            <v>6.6666666666666666E-2</v>
          </cell>
          <cell r="L27">
            <v>6.6666666666666666E-2</v>
          </cell>
          <cell r="M27">
            <v>6.6666666666666666E-2</v>
          </cell>
          <cell r="N27">
            <v>6.6666666666666666E-2</v>
          </cell>
          <cell r="O27">
            <v>6.6666666666666666E-2</v>
          </cell>
          <cell r="P27">
            <v>6.6666666666666666E-2</v>
          </cell>
          <cell r="Q27">
            <v>6.6666666666666666E-2</v>
          </cell>
          <cell r="R27">
            <v>6.6666666666666666E-2</v>
          </cell>
          <cell r="S27">
            <v>6.6666666666666666E-2</v>
          </cell>
          <cell r="T27">
            <v>6.6666666666666666E-2</v>
          </cell>
          <cell r="U27"/>
        </row>
        <row r="28">
          <cell r="B28" t="str">
            <v>Advanced Rooftop Controller-NR</v>
          </cell>
          <cell r="C28">
            <v>6.6666666666666666E-2</v>
          </cell>
          <cell r="D28">
            <v>6.6666666666666666E-2</v>
          </cell>
          <cell r="E28">
            <v>6.6666666666666666E-2</v>
          </cell>
          <cell r="F28">
            <v>6.6666666666666666E-2</v>
          </cell>
          <cell r="G28">
            <v>6.6666666666666666E-2</v>
          </cell>
          <cell r="H28">
            <v>6.6666666666666666E-2</v>
          </cell>
          <cell r="I28">
            <v>6.6666666666666666E-2</v>
          </cell>
          <cell r="J28">
            <v>6.6666666666666666E-2</v>
          </cell>
          <cell r="K28">
            <v>6.6666666666666666E-2</v>
          </cell>
          <cell r="L28">
            <v>6.6666666666666666E-2</v>
          </cell>
          <cell r="M28">
            <v>6.6666666666666666E-2</v>
          </cell>
          <cell r="N28">
            <v>6.6666666666666666E-2</v>
          </cell>
          <cell r="O28">
            <v>6.6666666666666666E-2</v>
          </cell>
          <cell r="P28">
            <v>6.6666666666666666E-2</v>
          </cell>
          <cell r="Q28">
            <v>6.6666666666666666E-2</v>
          </cell>
          <cell r="R28">
            <v>6.6666666666666666E-2</v>
          </cell>
          <cell r="S28">
            <v>6.6666666666666666E-2</v>
          </cell>
          <cell r="T28">
            <v>6.6666666666666666E-2</v>
          </cell>
          <cell r="U28"/>
        </row>
        <row r="29">
          <cell r="B29" t="str">
            <v>Advanced Rooftop Controller-Retro</v>
          </cell>
          <cell r="C29">
            <v>6.6666666666666666E-2</v>
          </cell>
          <cell r="D29">
            <v>6.6666666666666666E-2</v>
          </cell>
          <cell r="E29">
            <v>6.6666666666666666E-2</v>
          </cell>
          <cell r="F29">
            <v>6.6666666666666666E-2</v>
          </cell>
          <cell r="G29">
            <v>6.6666666666666666E-2</v>
          </cell>
          <cell r="H29">
            <v>6.6666666666666666E-2</v>
          </cell>
          <cell r="I29">
            <v>6.6666666666666666E-2</v>
          </cell>
          <cell r="J29">
            <v>6.6666666666666666E-2</v>
          </cell>
          <cell r="K29">
            <v>6.6666666666666666E-2</v>
          </cell>
          <cell r="L29">
            <v>6.6666666666666666E-2</v>
          </cell>
          <cell r="M29">
            <v>6.6666666666666666E-2</v>
          </cell>
          <cell r="N29">
            <v>6.6666666666666666E-2</v>
          </cell>
          <cell r="O29">
            <v>6.6666666666666666E-2</v>
          </cell>
          <cell r="P29">
            <v>6.6666666666666666E-2</v>
          </cell>
          <cell r="Q29">
            <v>6.6666666666666666E-2</v>
          </cell>
          <cell r="R29">
            <v>6.6666666666666666E-2</v>
          </cell>
          <cell r="S29">
            <v>6.6666666666666666E-2</v>
          </cell>
          <cell r="T29">
            <v>6.6666666666666666E-2</v>
          </cell>
          <cell r="U29"/>
        </row>
        <row r="30">
          <cell r="B30" t="str">
            <v>Variable Speed Chiller-New</v>
          </cell>
          <cell r="C30"/>
          <cell r="D30"/>
          <cell r="E30"/>
          <cell r="F30"/>
          <cell r="G30"/>
          <cell r="H30"/>
          <cell r="I30"/>
          <cell r="J30"/>
          <cell r="K30"/>
          <cell r="L30"/>
          <cell r="M30"/>
          <cell r="N30"/>
          <cell r="O30"/>
          <cell r="P30"/>
          <cell r="Q30"/>
          <cell r="R30"/>
          <cell r="S30"/>
          <cell r="T30"/>
          <cell r="U30"/>
        </row>
        <row r="31">
          <cell r="B31" t="str">
            <v>Variable Speed Chiller-NR</v>
          </cell>
          <cell r="C31"/>
          <cell r="D31"/>
          <cell r="E31"/>
          <cell r="F31"/>
          <cell r="G31"/>
          <cell r="H31"/>
          <cell r="I31"/>
          <cell r="J31"/>
          <cell r="K31"/>
          <cell r="L31"/>
          <cell r="M31"/>
          <cell r="N31"/>
          <cell r="O31"/>
          <cell r="P31"/>
          <cell r="Q31"/>
          <cell r="R31"/>
          <cell r="S31"/>
          <cell r="T31"/>
          <cell r="U31"/>
        </row>
        <row r="32">
          <cell r="B32" t="str">
            <v>Commercial EM-New</v>
          </cell>
          <cell r="C32">
            <v>0.15</v>
          </cell>
          <cell r="D32">
            <v>0.15</v>
          </cell>
          <cell r="E32">
            <v>0.15</v>
          </cell>
          <cell r="F32">
            <v>0.15</v>
          </cell>
          <cell r="G32">
            <v>0.15</v>
          </cell>
          <cell r="H32">
            <v>0.15</v>
          </cell>
          <cell r="I32">
            <v>0.15</v>
          </cell>
          <cell r="J32">
            <v>0.15</v>
          </cell>
          <cell r="K32">
            <v>0.15</v>
          </cell>
          <cell r="L32">
            <v>0.15</v>
          </cell>
          <cell r="M32">
            <v>0.15</v>
          </cell>
          <cell r="N32">
            <v>0.15</v>
          </cell>
          <cell r="O32">
            <v>0.15</v>
          </cell>
          <cell r="P32">
            <v>0.15</v>
          </cell>
          <cell r="Q32">
            <v>0.15</v>
          </cell>
          <cell r="R32">
            <v>0.15</v>
          </cell>
          <cell r="S32">
            <v>0.15</v>
          </cell>
          <cell r="T32">
            <v>0.15</v>
          </cell>
          <cell r="U32"/>
        </row>
        <row r="33">
          <cell r="B33" t="str">
            <v>Commercial EM-NR</v>
          </cell>
          <cell r="C33">
            <v>0.15</v>
          </cell>
          <cell r="D33">
            <v>0.15</v>
          </cell>
          <cell r="E33">
            <v>0.15</v>
          </cell>
          <cell r="F33">
            <v>0.15</v>
          </cell>
          <cell r="G33">
            <v>0.15</v>
          </cell>
          <cell r="H33">
            <v>0.15</v>
          </cell>
          <cell r="I33">
            <v>0.15</v>
          </cell>
          <cell r="J33">
            <v>0.15</v>
          </cell>
          <cell r="K33">
            <v>0.15</v>
          </cell>
          <cell r="L33">
            <v>0.15</v>
          </cell>
          <cell r="M33">
            <v>0.15</v>
          </cell>
          <cell r="N33">
            <v>0.15</v>
          </cell>
          <cell r="O33">
            <v>0.15</v>
          </cell>
          <cell r="P33">
            <v>0.15</v>
          </cell>
          <cell r="Q33">
            <v>0.15</v>
          </cell>
          <cell r="R33">
            <v>0.15</v>
          </cell>
          <cell r="S33">
            <v>0.15</v>
          </cell>
          <cell r="T33">
            <v>0.15</v>
          </cell>
          <cell r="U33"/>
        </row>
        <row r="34">
          <cell r="B34" t="str">
            <v>Commercial EM-Retro</v>
          </cell>
          <cell r="C34">
            <v>0.15</v>
          </cell>
          <cell r="D34">
            <v>0.15</v>
          </cell>
          <cell r="E34">
            <v>0.15</v>
          </cell>
          <cell r="F34">
            <v>0.15</v>
          </cell>
          <cell r="G34">
            <v>0.15</v>
          </cell>
          <cell r="H34">
            <v>0.15</v>
          </cell>
          <cell r="I34">
            <v>0.15</v>
          </cell>
          <cell r="J34">
            <v>0.15</v>
          </cell>
          <cell r="K34">
            <v>0.15</v>
          </cell>
          <cell r="L34">
            <v>0.15</v>
          </cell>
          <cell r="M34">
            <v>0.15</v>
          </cell>
          <cell r="N34">
            <v>0.15</v>
          </cell>
          <cell r="O34">
            <v>0.15</v>
          </cell>
          <cell r="P34">
            <v>0.15</v>
          </cell>
          <cell r="Q34">
            <v>0.15</v>
          </cell>
          <cell r="R34">
            <v>0.15</v>
          </cell>
          <cell r="S34">
            <v>0.15</v>
          </cell>
          <cell r="T34">
            <v>0.15</v>
          </cell>
          <cell r="U34"/>
        </row>
        <row r="35">
          <cell r="B35" t="str">
            <v>Evaporative Assist Cooling-New</v>
          </cell>
          <cell r="C35"/>
          <cell r="D35"/>
          <cell r="E35"/>
          <cell r="F35"/>
          <cell r="G35"/>
          <cell r="H35"/>
          <cell r="I35"/>
          <cell r="J35"/>
          <cell r="K35"/>
          <cell r="L35"/>
          <cell r="M35"/>
          <cell r="N35"/>
          <cell r="O35"/>
          <cell r="P35"/>
          <cell r="Q35"/>
          <cell r="R35"/>
          <cell r="S35"/>
          <cell r="T35"/>
          <cell r="U35"/>
        </row>
        <row r="36">
          <cell r="B36" t="str">
            <v>Evaporative Assist Cooling-NR</v>
          </cell>
          <cell r="C36"/>
          <cell r="D36"/>
          <cell r="E36"/>
          <cell r="F36"/>
          <cell r="G36"/>
          <cell r="H36"/>
          <cell r="I36"/>
          <cell r="J36"/>
          <cell r="K36"/>
          <cell r="L36"/>
          <cell r="M36"/>
          <cell r="N36"/>
          <cell r="O36"/>
          <cell r="P36"/>
          <cell r="Q36"/>
          <cell r="R36"/>
          <cell r="S36"/>
          <cell r="T36"/>
          <cell r="U36"/>
        </row>
        <row r="37">
          <cell r="B37" t="str">
            <v>Low Pressure Distribution Complex HVAC-New</v>
          </cell>
          <cell r="C37"/>
          <cell r="D37"/>
          <cell r="E37"/>
          <cell r="F37"/>
          <cell r="G37"/>
          <cell r="H37"/>
          <cell r="I37"/>
          <cell r="J37"/>
          <cell r="K37"/>
          <cell r="L37"/>
          <cell r="M37"/>
          <cell r="N37"/>
          <cell r="O37"/>
          <cell r="P37"/>
          <cell r="Q37"/>
          <cell r="R37"/>
          <cell r="S37"/>
          <cell r="T37"/>
          <cell r="U37"/>
        </row>
        <row r="38">
          <cell r="B38" t="str">
            <v>Demand Control Ventilation-New</v>
          </cell>
          <cell r="C38"/>
          <cell r="D38"/>
          <cell r="E38"/>
          <cell r="F38"/>
          <cell r="G38"/>
          <cell r="H38"/>
          <cell r="I38"/>
          <cell r="J38"/>
          <cell r="K38"/>
          <cell r="L38"/>
          <cell r="M38"/>
          <cell r="N38"/>
          <cell r="O38"/>
          <cell r="P38"/>
          <cell r="Q38"/>
          <cell r="R38"/>
          <cell r="S38"/>
          <cell r="T38"/>
          <cell r="U38"/>
        </row>
        <row r="39">
          <cell r="B39" t="str">
            <v>Demand Control Ventilation-NR</v>
          </cell>
          <cell r="C39"/>
          <cell r="D39"/>
          <cell r="E39"/>
          <cell r="F39"/>
          <cell r="G39"/>
          <cell r="H39"/>
          <cell r="I39"/>
          <cell r="J39"/>
          <cell r="K39"/>
          <cell r="L39"/>
          <cell r="M39"/>
          <cell r="N39"/>
          <cell r="O39"/>
          <cell r="P39"/>
          <cell r="Q39"/>
          <cell r="R39"/>
          <cell r="S39"/>
          <cell r="T39"/>
          <cell r="U39"/>
        </row>
        <row r="40">
          <cell r="B40" t="str">
            <v>Demand Control Ventilation-Retro</v>
          </cell>
          <cell r="C40"/>
          <cell r="D40"/>
          <cell r="E40"/>
          <cell r="F40"/>
          <cell r="G40"/>
          <cell r="H40"/>
          <cell r="I40"/>
          <cell r="J40"/>
          <cell r="K40"/>
          <cell r="L40"/>
          <cell r="M40"/>
          <cell r="N40"/>
          <cell r="O40"/>
          <cell r="P40"/>
          <cell r="Q40"/>
          <cell r="R40"/>
          <cell r="S40"/>
          <cell r="T40"/>
          <cell r="U40"/>
        </row>
        <row r="41">
          <cell r="B41" t="str">
            <v>Premium Fume Hood-New</v>
          </cell>
          <cell r="C41">
            <v>0.06</v>
          </cell>
          <cell r="D41">
            <v>0.06</v>
          </cell>
          <cell r="E41">
            <v>0.06</v>
          </cell>
          <cell r="F41">
            <v>0.06</v>
          </cell>
          <cell r="G41">
            <v>0.06</v>
          </cell>
          <cell r="H41">
            <v>0.06</v>
          </cell>
          <cell r="I41">
            <v>0.06</v>
          </cell>
          <cell r="J41">
            <v>0.06</v>
          </cell>
          <cell r="K41">
            <v>0.06</v>
          </cell>
          <cell r="L41">
            <v>0.06</v>
          </cell>
          <cell r="M41">
            <v>0.06</v>
          </cell>
          <cell r="N41">
            <v>0.06</v>
          </cell>
          <cell r="O41">
            <v>0.06</v>
          </cell>
          <cell r="P41">
            <v>0.06</v>
          </cell>
          <cell r="Q41">
            <v>0.06</v>
          </cell>
          <cell r="R41">
            <v>0.06</v>
          </cell>
          <cell r="S41">
            <v>0.06</v>
          </cell>
          <cell r="T41">
            <v>0.06</v>
          </cell>
          <cell r="U41">
            <v>0.06</v>
          </cell>
        </row>
        <row r="42">
          <cell r="B42" t="str">
            <v>DCV Restaurant Hood-Retro</v>
          </cell>
          <cell r="C42"/>
          <cell r="D42"/>
          <cell r="E42"/>
          <cell r="F42"/>
          <cell r="G42"/>
          <cell r="H42"/>
          <cell r="I42"/>
          <cell r="J42"/>
          <cell r="K42"/>
          <cell r="L42"/>
          <cell r="M42"/>
          <cell r="N42"/>
          <cell r="O42"/>
          <cell r="P42"/>
          <cell r="Q42"/>
          <cell r="R42"/>
          <cell r="S42"/>
          <cell r="T42"/>
          <cell r="U42"/>
        </row>
        <row r="43">
          <cell r="B43" t="str">
            <v>DCV Parking Garage-Retro</v>
          </cell>
          <cell r="C43"/>
          <cell r="D43"/>
          <cell r="E43"/>
          <cell r="F43"/>
          <cell r="G43"/>
          <cell r="H43"/>
          <cell r="I43"/>
          <cell r="J43"/>
          <cell r="K43"/>
          <cell r="L43"/>
          <cell r="M43"/>
          <cell r="N43"/>
          <cell r="O43"/>
          <cell r="P43"/>
          <cell r="Q43"/>
          <cell r="R43"/>
          <cell r="S43"/>
          <cell r="T43"/>
          <cell r="U43"/>
        </row>
        <row r="44">
          <cell r="B44" t="str">
            <v>Weatherization - School-Retro</v>
          </cell>
          <cell r="C44"/>
          <cell r="D44"/>
          <cell r="E44"/>
          <cell r="F44"/>
          <cell r="G44"/>
          <cell r="H44"/>
          <cell r="I44"/>
          <cell r="J44"/>
          <cell r="K44"/>
          <cell r="L44"/>
          <cell r="M44"/>
          <cell r="N44"/>
          <cell r="O44"/>
          <cell r="P44"/>
          <cell r="Q44"/>
          <cell r="R44"/>
          <cell r="S44"/>
          <cell r="T44"/>
          <cell r="U44"/>
        </row>
        <row r="45">
          <cell r="B45" t="str">
            <v>Energy Recovery Ventilator-NR</v>
          </cell>
          <cell r="C45"/>
          <cell r="D45"/>
          <cell r="E45"/>
          <cell r="F45"/>
          <cell r="G45"/>
          <cell r="H45"/>
          <cell r="I45"/>
          <cell r="J45"/>
          <cell r="K45"/>
          <cell r="L45"/>
          <cell r="M45"/>
          <cell r="N45"/>
          <cell r="O45"/>
          <cell r="P45"/>
          <cell r="Q45"/>
          <cell r="R45"/>
          <cell r="S45"/>
          <cell r="T45"/>
          <cell r="U45"/>
        </row>
        <row r="46">
          <cell r="B46" t="str">
            <v>AC Heat Recovery for Water Heating-NR</v>
          </cell>
          <cell r="C46"/>
          <cell r="D46"/>
          <cell r="E46"/>
          <cell r="F46"/>
          <cell r="G46"/>
          <cell r="H46"/>
          <cell r="I46"/>
          <cell r="J46"/>
          <cell r="K46"/>
          <cell r="L46"/>
          <cell r="M46"/>
          <cell r="N46"/>
          <cell r="O46"/>
          <cell r="P46"/>
          <cell r="Q46"/>
          <cell r="R46"/>
          <cell r="S46"/>
          <cell r="T46"/>
          <cell r="U46"/>
        </row>
        <row r="47">
          <cell r="B47" t="str">
            <v>Room Occupancy Sensors in Lodging-Retro</v>
          </cell>
          <cell r="C47"/>
          <cell r="D47"/>
          <cell r="E47"/>
          <cell r="F47"/>
          <cell r="G47"/>
          <cell r="H47"/>
          <cell r="I47"/>
          <cell r="J47"/>
          <cell r="K47"/>
          <cell r="L47"/>
          <cell r="M47"/>
          <cell r="N47"/>
          <cell r="O47"/>
          <cell r="P47"/>
          <cell r="Q47"/>
          <cell r="R47"/>
          <cell r="S47"/>
          <cell r="T47"/>
          <cell r="U47"/>
        </row>
        <row r="48">
          <cell r="B48" t="str">
            <v>Chiller - chilled water retrofit-Retro</v>
          </cell>
          <cell r="C48"/>
          <cell r="D48"/>
          <cell r="E48"/>
          <cell r="F48"/>
          <cell r="G48"/>
          <cell r="H48"/>
          <cell r="I48"/>
          <cell r="J48"/>
          <cell r="K48"/>
          <cell r="L48"/>
          <cell r="M48"/>
          <cell r="N48"/>
          <cell r="O48"/>
          <cell r="P48"/>
          <cell r="Q48"/>
          <cell r="R48"/>
          <cell r="S48"/>
          <cell r="T48"/>
          <cell r="U48"/>
        </row>
        <row r="49">
          <cell r="B49" t="str">
            <v>Chiller - equip retrofits-Retro</v>
          </cell>
          <cell r="C49"/>
          <cell r="D49"/>
          <cell r="E49"/>
          <cell r="F49"/>
          <cell r="G49"/>
          <cell r="H49"/>
          <cell r="I49"/>
          <cell r="J49"/>
          <cell r="K49"/>
          <cell r="L49"/>
          <cell r="M49"/>
          <cell r="N49"/>
          <cell r="O49"/>
          <cell r="P49"/>
          <cell r="Q49"/>
          <cell r="R49"/>
          <cell r="S49"/>
          <cell r="T49"/>
          <cell r="U49"/>
        </row>
        <row r="50">
          <cell r="B50" t="str">
            <v>Pool Blankets-Retro</v>
          </cell>
          <cell r="C50"/>
          <cell r="D50"/>
          <cell r="E50"/>
          <cell r="F50"/>
          <cell r="G50"/>
          <cell r="H50"/>
          <cell r="I50"/>
          <cell r="J50"/>
          <cell r="K50"/>
          <cell r="L50"/>
          <cell r="M50"/>
          <cell r="N50"/>
          <cell r="O50"/>
          <cell r="P50"/>
          <cell r="Q50"/>
          <cell r="R50"/>
          <cell r="S50"/>
          <cell r="T50"/>
          <cell r="U50"/>
        </row>
        <row r="51">
          <cell r="B51" t="str">
            <v>Web-Enabled Thermostats-Retro</v>
          </cell>
          <cell r="C51"/>
          <cell r="D51"/>
          <cell r="E51"/>
          <cell r="F51"/>
          <cell r="G51"/>
          <cell r="H51"/>
          <cell r="I51"/>
          <cell r="J51"/>
          <cell r="K51"/>
          <cell r="L51"/>
          <cell r="M51"/>
          <cell r="N51"/>
          <cell r="O51"/>
          <cell r="P51"/>
          <cell r="Q51"/>
          <cell r="R51"/>
          <cell r="S51"/>
          <cell r="T51"/>
          <cell r="U51"/>
        </row>
        <row r="52">
          <cell r="B52" t="str">
            <v>Garage CO2 ventilation-Retro</v>
          </cell>
          <cell r="C52"/>
          <cell r="D52"/>
          <cell r="E52"/>
          <cell r="F52"/>
          <cell r="G52"/>
          <cell r="H52"/>
          <cell r="I52"/>
          <cell r="J52"/>
          <cell r="K52"/>
          <cell r="L52"/>
          <cell r="M52"/>
          <cell r="N52"/>
          <cell r="O52"/>
          <cell r="P52"/>
          <cell r="Q52"/>
          <cell r="R52"/>
          <cell r="S52"/>
          <cell r="T52"/>
          <cell r="U52"/>
        </row>
        <row r="53">
          <cell r="B53" t="str">
            <v>Circ Pump ECM and drive-Retro</v>
          </cell>
          <cell r="C53"/>
          <cell r="D53"/>
          <cell r="E53"/>
          <cell r="F53"/>
          <cell r="G53"/>
          <cell r="H53"/>
          <cell r="I53"/>
          <cell r="J53"/>
          <cell r="K53"/>
          <cell r="L53"/>
          <cell r="M53"/>
          <cell r="N53"/>
          <cell r="O53"/>
          <cell r="P53"/>
          <cell r="Q53"/>
          <cell r="R53"/>
          <cell r="S53"/>
          <cell r="T53"/>
          <cell r="U53"/>
        </row>
        <row r="54">
          <cell r="B54" t="str">
            <v>Variable Capacity Heat Pump-Retro</v>
          </cell>
          <cell r="C54"/>
          <cell r="D54"/>
          <cell r="E54"/>
          <cell r="F54"/>
          <cell r="G54"/>
          <cell r="H54"/>
          <cell r="I54"/>
          <cell r="J54"/>
          <cell r="K54"/>
          <cell r="L54"/>
          <cell r="M54"/>
          <cell r="N54"/>
          <cell r="O54"/>
          <cell r="P54"/>
          <cell r="Q54"/>
          <cell r="R54"/>
          <cell r="S54"/>
          <cell r="T54"/>
          <cell r="U54"/>
        </row>
        <row r="55">
          <cell r="B55" t="str">
            <v>Cool Roofs-Retro</v>
          </cell>
          <cell r="C55"/>
          <cell r="D55"/>
          <cell r="E55"/>
          <cell r="F55"/>
          <cell r="G55"/>
          <cell r="H55"/>
          <cell r="I55"/>
          <cell r="J55"/>
          <cell r="K55"/>
          <cell r="L55"/>
          <cell r="M55"/>
          <cell r="N55"/>
          <cell r="O55"/>
          <cell r="P55"/>
          <cell r="Q55"/>
          <cell r="R55"/>
          <cell r="S55"/>
          <cell r="T55"/>
          <cell r="U55"/>
        </row>
        <row r="56">
          <cell r="B56" t="str">
            <v>Evaporator Roof Top HVAC-Retro</v>
          </cell>
          <cell r="C56"/>
          <cell r="D56"/>
          <cell r="E56"/>
          <cell r="F56"/>
          <cell r="G56"/>
          <cell r="H56"/>
          <cell r="I56"/>
          <cell r="J56"/>
          <cell r="K56"/>
          <cell r="L56"/>
          <cell r="M56"/>
          <cell r="N56"/>
          <cell r="O56"/>
          <cell r="P56"/>
          <cell r="Q56"/>
          <cell r="R56"/>
          <cell r="S56"/>
          <cell r="T56"/>
          <cell r="U56"/>
        </row>
        <row r="57">
          <cell r="B57" t="str">
            <v>Secondary Glazing Systems-Retro</v>
          </cell>
          <cell r="C57"/>
          <cell r="D57"/>
          <cell r="E57"/>
          <cell r="F57"/>
          <cell r="G57"/>
          <cell r="H57"/>
          <cell r="I57"/>
          <cell r="J57"/>
          <cell r="K57"/>
          <cell r="L57"/>
          <cell r="M57"/>
          <cell r="N57"/>
          <cell r="O57"/>
          <cell r="P57"/>
          <cell r="Q57"/>
          <cell r="R57"/>
          <cell r="S57"/>
          <cell r="T57"/>
          <cell r="U57"/>
        </row>
        <row r="58">
          <cell r="B58" t="str">
            <v>LPD Package-New</v>
          </cell>
          <cell r="C58"/>
          <cell r="D58"/>
          <cell r="E58"/>
          <cell r="F58"/>
          <cell r="G58"/>
          <cell r="H58"/>
          <cell r="I58"/>
          <cell r="J58"/>
          <cell r="K58"/>
          <cell r="L58"/>
          <cell r="M58"/>
          <cell r="N58"/>
          <cell r="O58"/>
          <cell r="P58"/>
          <cell r="Q58"/>
          <cell r="R58"/>
          <cell r="S58"/>
          <cell r="T58"/>
          <cell r="U58"/>
        </row>
        <row r="59">
          <cell r="B59" t="str">
            <v>LPD Package-NR</v>
          </cell>
          <cell r="C59"/>
          <cell r="D59"/>
          <cell r="E59"/>
          <cell r="F59"/>
          <cell r="G59"/>
          <cell r="H59"/>
          <cell r="I59"/>
          <cell r="J59"/>
          <cell r="K59"/>
          <cell r="L59"/>
          <cell r="M59"/>
          <cell r="N59"/>
          <cell r="O59"/>
          <cell r="P59"/>
          <cell r="Q59"/>
          <cell r="R59"/>
          <cell r="S59"/>
          <cell r="T59"/>
          <cell r="U59"/>
        </row>
        <row r="60">
          <cell r="B60" t="str">
            <v>LPD Package-Retro</v>
          </cell>
          <cell r="C60"/>
          <cell r="D60"/>
          <cell r="E60"/>
          <cell r="F60"/>
          <cell r="G60"/>
          <cell r="H60"/>
          <cell r="I60"/>
          <cell r="J60"/>
          <cell r="K60"/>
          <cell r="L60"/>
          <cell r="M60"/>
          <cell r="N60"/>
          <cell r="O60"/>
          <cell r="P60"/>
          <cell r="Q60"/>
          <cell r="R60"/>
          <cell r="S60"/>
          <cell r="T60"/>
          <cell r="U60"/>
        </row>
        <row r="61">
          <cell r="B61" t="str">
            <v>Top Daylighting-New</v>
          </cell>
          <cell r="C61"/>
          <cell r="D61"/>
          <cell r="E61"/>
          <cell r="F61"/>
          <cell r="G61"/>
          <cell r="H61"/>
          <cell r="I61"/>
          <cell r="J61"/>
          <cell r="K61"/>
          <cell r="L61"/>
          <cell r="M61"/>
          <cell r="N61"/>
          <cell r="O61"/>
          <cell r="P61"/>
          <cell r="Q61"/>
          <cell r="R61"/>
          <cell r="S61"/>
          <cell r="T61"/>
          <cell r="U61"/>
        </row>
        <row r="62">
          <cell r="B62" t="str">
            <v>Perimeter Daylighting Controls Advanced-New</v>
          </cell>
          <cell r="C62"/>
          <cell r="D62"/>
          <cell r="E62"/>
          <cell r="F62"/>
          <cell r="G62"/>
          <cell r="H62"/>
          <cell r="I62"/>
          <cell r="J62"/>
          <cell r="K62"/>
          <cell r="L62"/>
          <cell r="M62"/>
          <cell r="N62"/>
          <cell r="O62"/>
          <cell r="P62"/>
          <cell r="Q62"/>
          <cell r="R62"/>
          <cell r="S62"/>
          <cell r="T62"/>
          <cell r="U62"/>
        </row>
        <row r="63">
          <cell r="B63" t="str">
            <v>Perimeter Daylighting Controls Advanced-NR</v>
          </cell>
          <cell r="C63"/>
          <cell r="D63"/>
          <cell r="E63"/>
          <cell r="F63"/>
          <cell r="G63"/>
          <cell r="H63"/>
          <cell r="I63"/>
          <cell r="J63"/>
          <cell r="K63"/>
          <cell r="L63"/>
          <cell r="M63"/>
          <cell r="N63"/>
          <cell r="O63"/>
          <cell r="P63"/>
          <cell r="Q63"/>
          <cell r="R63"/>
          <cell r="S63"/>
          <cell r="T63"/>
          <cell r="U63"/>
        </row>
        <row r="64">
          <cell r="B64" t="str">
            <v>Lighting Controls Interior-New</v>
          </cell>
          <cell r="C64"/>
          <cell r="D64"/>
          <cell r="E64"/>
          <cell r="F64"/>
          <cell r="G64"/>
          <cell r="H64"/>
          <cell r="I64"/>
          <cell r="J64"/>
          <cell r="K64"/>
          <cell r="L64"/>
          <cell r="M64"/>
          <cell r="N64"/>
          <cell r="O64"/>
          <cell r="P64"/>
          <cell r="Q64"/>
          <cell r="R64"/>
          <cell r="S64"/>
          <cell r="T64"/>
          <cell r="U64"/>
        </row>
        <row r="65">
          <cell r="B65" t="str">
            <v>Lighting Controls Interior-NR</v>
          </cell>
          <cell r="C65"/>
          <cell r="D65"/>
          <cell r="E65"/>
          <cell r="F65"/>
          <cell r="G65"/>
          <cell r="H65"/>
          <cell r="I65"/>
          <cell r="J65"/>
          <cell r="K65"/>
          <cell r="L65"/>
          <cell r="M65"/>
          <cell r="N65"/>
          <cell r="O65"/>
          <cell r="P65"/>
          <cell r="Q65"/>
          <cell r="R65"/>
          <cell r="S65"/>
          <cell r="T65"/>
          <cell r="U65"/>
        </row>
        <row r="66">
          <cell r="B66" t="str">
            <v>Exterior Building Lighting-New</v>
          </cell>
          <cell r="C66"/>
          <cell r="D66"/>
          <cell r="E66"/>
          <cell r="F66"/>
          <cell r="G66"/>
          <cell r="H66"/>
          <cell r="I66"/>
          <cell r="J66"/>
          <cell r="K66"/>
          <cell r="L66"/>
          <cell r="M66"/>
          <cell r="N66"/>
          <cell r="O66"/>
          <cell r="P66"/>
          <cell r="Q66"/>
          <cell r="R66"/>
          <cell r="S66"/>
          <cell r="T66"/>
          <cell r="U66"/>
        </row>
        <row r="67">
          <cell r="B67" t="str">
            <v>Exterior Building Lighting-NR</v>
          </cell>
          <cell r="C67"/>
          <cell r="D67"/>
          <cell r="E67"/>
          <cell r="F67"/>
          <cell r="G67"/>
          <cell r="H67"/>
          <cell r="I67"/>
          <cell r="J67"/>
          <cell r="K67"/>
          <cell r="L67"/>
          <cell r="M67"/>
          <cell r="N67"/>
          <cell r="O67"/>
          <cell r="P67"/>
          <cell r="Q67"/>
          <cell r="R67"/>
          <cell r="S67"/>
          <cell r="T67"/>
          <cell r="U67"/>
        </row>
        <row r="68">
          <cell r="B68" t="str">
            <v>Street and Roadway Lighting-New</v>
          </cell>
          <cell r="C68"/>
          <cell r="D68"/>
          <cell r="E68"/>
          <cell r="F68"/>
          <cell r="G68"/>
          <cell r="H68"/>
          <cell r="I68"/>
          <cell r="J68"/>
          <cell r="K68"/>
          <cell r="L68"/>
          <cell r="M68"/>
          <cell r="N68"/>
          <cell r="O68"/>
          <cell r="P68"/>
          <cell r="Q68"/>
          <cell r="R68"/>
          <cell r="S68"/>
          <cell r="T68"/>
          <cell r="U68">
            <v>0.2</v>
          </cell>
        </row>
        <row r="69">
          <cell r="B69" t="str">
            <v>Street and Roadway Lighting-NR</v>
          </cell>
          <cell r="C69"/>
          <cell r="D69"/>
          <cell r="E69"/>
          <cell r="F69"/>
          <cell r="G69"/>
          <cell r="H69"/>
          <cell r="I69"/>
          <cell r="J69"/>
          <cell r="K69"/>
          <cell r="L69"/>
          <cell r="M69"/>
          <cell r="N69"/>
          <cell r="O69"/>
          <cell r="P69"/>
          <cell r="Q69"/>
          <cell r="R69"/>
          <cell r="S69"/>
          <cell r="T69"/>
          <cell r="U69">
            <v>0.2</v>
          </cell>
        </row>
        <row r="70">
          <cell r="B70" t="str">
            <v>Parking Lighting-New</v>
          </cell>
          <cell r="C70"/>
          <cell r="D70"/>
          <cell r="E70"/>
          <cell r="F70"/>
          <cell r="G70"/>
          <cell r="H70"/>
          <cell r="I70"/>
          <cell r="J70"/>
          <cell r="K70"/>
          <cell r="L70"/>
          <cell r="M70"/>
          <cell r="N70"/>
          <cell r="O70"/>
          <cell r="P70"/>
          <cell r="Q70"/>
          <cell r="R70"/>
          <cell r="S70"/>
          <cell r="T70"/>
          <cell r="U70"/>
        </row>
        <row r="71">
          <cell r="B71" t="str">
            <v>Parking Lighting-NR</v>
          </cell>
          <cell r="C71"/>
          <cell r="D71"/>
          <cell r="E71"/>
          <cell r="F71"/>
          <cell r="G71"/>
          <cell r="H71"/>
          <cell r="I71"/>
          <cell r="J71"/>
          <cell r="K71"/>
          <cell r="L71"/>
          <cell r="M71"/>
          <cell r="N71"/>
          <cell r="O71"/>
          <cell r="P71"/>
          <cell r="Q71"/>
          <cell r="R71"/>
          <cell r="S71"/>
          <cell r="T71"/>
          <cell r="U71"/>
        </row>
        <row r="72">
          <cell r="B72" t="str">
            <v>Luminaire Level Lighting Controls-Retro</v>
          </cell>
          <cell r="C72"/>
          <cell r="D72"/>
          <cell r="E72"/>
          <cell r="F72"/>
          <cell r="G72"/>
          <cell r="H72"/>
          <cell r="I72"/>
          <cell r="J72"/>
          <cell r="K72"/>
          <cell r="L72"/>
          <cell r="M72"/>
          <cell r="N72"/>
          <cell r="O72"/>
          <cell r="P72"/>
          <cell r="Q72"/>
          <cell r="R72"/>
          <cell r="S72"/>
          <cell r="T72"/>
          <cell r="U72"/>
        </row>
        <row r="73">
          <cell r="B73" t="str">
            <v>ECM on VAV Boxes-New</v>
          </cell>
          <cell r="C73"/>
          <cell r="D73"/>
          <cell r="E73"/>
          <cell r="F73"/>
          <cell r="G73"/>
          <cell r="H73"/>
          <cell r="I73"/>
          <cell r="J73"/>
          <cell r="K73"/>
          <cell r="L73"/>
          <cell r="M73"/>
          <cell r="N73"/>
          <cell r="O73"/>
          <cell r="P73"/>
          <cell r="Q73"/>
          <cell r="R73"/>
          <cell r="S73"/>
          <cell r="T73"/>
          <cell r="U73"/>
        </row>
        <row r="74">
          <cell r="B74" t="str">
            <v>ECM on VAV Boxes-NR</v>
          </cell>
          <cell r="C74"/>
          <cell r="D74"/>
          <cell r="E74"/>
          <cell r="F74"/>
          <cell r="G74"/>
          <cell r="H74"/>
          <cell r="I74"/>
          <cell r="J74"/>
          <cell r="K74"/>
          <cell r="L74"/>
          <cell r="M74"/>
          <cell r="N74"/>
          <cell r="O74"/>
          <cell r="P74"/>
          <cell r="Q74"/>
          <cell r="R74"/>
          <cell r="S74"/>
          <cell r="T74"/>
          <cell r="U74"/>
        </row>
        <row r="75">
          <cell r="B75" t="str">
            <v>Pool pumps-Retro</v>
          </cell>
          <cell r="C75"/>
          <cell r="D75"/>
          <cell r="E75"/>
          <cell r="F75"/>
          <cell r="G75"/>
          <cell r="H75"/>
          <cell r="I75"/>
          <cell r="J75"/>
          <cell r="K75"/>
          <cell r="L75"/>
          <cell r="M75"/>
          <cell r="N75"/>
          <cell r="O75"/>
          <cell r="P75"/>
          <cell r="Q75"/>
          <cell r="R75"/>
          <cell r="S75"/>
          <cell r="T75"/>
          <cell r="U75"/>
        </row>
        <row r="76">
          <cell r="B76" t="str">
            <v>Switched Reluctance/Permanent Magnet Motors-Retro</v>
          </cell>
          <cell r="C76"/>
          <cell r="D76"/>
          <cell r="E76"/>
          <cell r="F76"/>
          <cell r="G76"/>
          <cell r="H76"/>
          <cell r="I76"/>
          <cell r="J76"/>
          <cell r="K76"/>
          <cell r="L76"/>
          <cell r="M76"/>
          <cell r="N76"/>
          <cell r="O76"/>
          <cell r="P76"/>
          <cell r="Q76"/>
          <cell r="R76"/>
          <cell r="S76"/>
          <cell r="T76"/>
          <cell r="U76"/>
        </row>
        <row r="77">
          <cell r="B77" t="str">
            <v>Motors - Rewind-NR</v>
          </cell>
          <cell r="C77"/>
          <cell r="D77"/>
          <cell r="E77"/>
          <cell r="F77"/>
          <cell r="G77"/>
          <cell r="H77"/>
          <cell r="I77"/>
          <cell r="J77"/>
          <cell r="K77"/>
          <cell r="L77"/>
          <cell r="M77"/>
          <cell r="N77"/>
          <cell r="O77"/>
          <cell r="P77"/>
          <cell r="Q77"/>
          <cell r="R77"/>
          <cell r="S77"/>
          <cell r="T77"/>
          <cell r="U77"/>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row>
        <row r="80">
          <cell r="B80" t="str">
            <v>Engine Generator Block Heaters-Retro</v>
          </cell>
          <cell r="C80"/>
          <cell r="D80"/>
          <cell r="E80"/>
          <cell r="F80"/>
          <cell r="G80"/>
          <cell r="H80"/>
          <cell r="I80"/>
          <cell r="J80"/>
          <cell r="K80"/>
          <cell r="L80"/>
          <cell r="M80"/>
          <cell r="N80"/>
          <cell r="O80"/>
          <cell r="P80"/>
          <cell r="Q80"/>
          <cell r="R80"/>
          <cell r="S80"/>
          <cell r="T80"/>
          <cell r="U80"/>
        </row>
        <row r="81">
          <cell r="B81" t="str">
            <v>Grocery Refrigeration Bundle-Retro</v>
          </cell>
          <cell r="C81"/>
          <cell r="D81"/>
          <cell r="E81"/>
          <cell r="F81"/>
          <cell r="G81"/>
          <cell r="H81"/>
          <cell r="I81"/>
          <cell r="J81"/>
          <cell r="K81"/>
          <cell r="L81"/>
          <cell r="M81"/>
          <cell r="N81"/>
          <cell r="O81"/>
          <cell r="P81"/>
          <cell r="Q81"/>
          <cell r="R81"/>
          <cell r="S81"/>
          <cell r="T81"/>
          <cell r="U81"/>
        </row>
        <row r="82">
          <cell r="B82" t="str">
            <v>Packaged Refrigeration Equipment-New</v>
          </cell>
          <cell r="C82"/>
          <cell r="D82"/>
          <cell r="E82"/>
          <cell r="F82"/>
          <cell r="G82"/>
          <cell r="H82"/>
          <cell r="I82"/>
          <cell r="J82"/>
          <cell r="K82"/>
          <cell r="L82"/>
          <cell r="M82"/>
          <cell r="N82"/>
          <cell r="O82"/>
          <cell r="P82"/>
          <cell r="Q82"/>
          <cell r="R82"/>
          <cell r="S82"/>
          <cell r="T82"/>
          <cell r="U82"/>
        </row>
        <row r="83">
          <cell r="B83" t="str">
            <v>Appliances - Freezers-NR</v>
          </cell>
          <cell r="C83"/>
          <cell r="D83"/>
          <cell r="E83"/>
          <cell r="F83"/>
          <cell r="G83"/>
          <cell r="H83"/>
          <cell r="I83"/>
          <cell r="J83"/>
          <cell r="K83"/>
          <cell r="L83"/>
          <cell r="M83"/>
          <cell r="N83"/>
          <cell r="O83"/>
          <cell r="P83"/>
          <cell r="Q83"/>
          <cell r="R83"/>
          <cell r="S83"/>
          <cell r="T83"/>
          <cell r="U83"/>
        </row>
        <row r="84">
          <cell r="B84" t="str">
            <v>Appliances - Refrigerators-NR</v>
          </cell>
          <cell r="C84"/>
          <cell r="D84"/>
          <cell r="E84"/>
          <cell r="F84"/>
          <cell r="G84"/>
          <cell r="H84"/>
          <cell r="I84"/>
          <cell r="J84"/>
          <cell r="K84"/>
          <cell r="L84"/>
          <cell r="M84"/>
          <cell r="N84"/>
          <cell r="O84"/>
          <cell r="P84"/>
          <cell r="Q84"/>
          <cell r="R84"/>
          <cell r="S84"/>
          <cell r="T84"/>
          <cell r="U84"/>
        </row>
        <row r="85">
          <cell r="B85" t="str">
            <v>Water Cooler Controls-Retro</v>
          </cell>
          <cell r="C85"/>
          <cell r="D85"/>
          <cell r="E85"/>
          <cell r="F85"/>
          <cell r="G85"/>
          <cell r="H85"/>
          <cell r="I85"/>
          <cell r="J85"/>
          <cell r="K85"/>
          <cell r="L85"/>
          <cell r="M85"/>
          <cell r="N85"/>
          <cell r="O85"/>
          <cell r="P85"/>
          <cell r="Q85"/>
          <cell r="R85"/>
          <cell r="S85"/>
          <cell r="T85"/>
          <cell r="U85"/>
        </row>
        <row r="86">
          <cell r="B86" t="str">
            <v>Commercial Clothes Washers-New</v>
          </cell>
          <cell r="C86"/>
          <cell r="D86"/>
          <cell r="E86"/>
          <cell r="F86"/>
          <cell r="G86"/>
          <cell r="H86"/>
          <cell r="I86"/>
          <cell r="J86"/>
          <cell r="K86"/>
          <cell r="L86"/>
          <cell r="M86"/>
          <cell r="N86"/>
          <cell r="O86"/>
          <cell r="P86"/>
          <cell r="Q86"/>
          <cell r="R86"/>
          <cell r="S86"/>
          <cell r="T86"/>
          <cell r="U86"/>
        </row>
        <row r="87">
          <cell r="B87" t="str">
            <v>DHW - Efficient Tanks-Retro</v>
          </cell>
          <cell r="C87"/>
          <cell r="D87"/>
          <cell r="E87"/>
          <cell r="F87"/>
          <cell r="G87"/>
          <cell r="H87"/>
          <cell r="I87"/>
          <cell r="J87"/>
          <cell r="K87"/>
          <cell r="L87"/>
          <cell r="M87"/>
          <cell r="N87"/>
          <cell r="O87"/>
          <cell r="P87"/>
          <cell r="Q87"/>
          <cell r="R87"/>
          <cell r="S87"/>
          <cell r="T87"/>
          <cell r="U87"/>
        </row>
        <row r="88">
          <cell r="B88" t="str">
            <v>Appliances - Clothes Washers-NR</v>
          </cell>
          <cell r="C88"/>
          <cell r="D88"/>
          <cell r="E88"/>
          <cell r="F88"/>
          <cell r="G88"/>
          <cell r="H88"/>
          <cell r="I88"/>
          <cell r="J88"/>
          <cell r="K88"/>
          <cell r="L88"/>
          <cell r="M88"/>
          <cell r="N88"/>
          <cell r="O88"/>
          <cell r="P88"/>
          <cell r="Q88"/>
          <cell r="R88"/>
          <cell r="S88"/>
          <cell r="T88"/>
          <cell r="U88"/>
        </row>
        <row r="89">
          <cell r="B89" t="str">
            <v>DHW - Showerheads-Retro</v>
          </cell>
          <cell r="C89"/>
          <cell r="D89"/>
          <cell r="E89"/>
          <cell r="F89"/>
          <cell r="G89"/>
          <cell r="H89"/>
          <cell r="I89"/>
          <cell r="J89"/>
          <cell r="K89"/>
          <cell r="L89"/>
          <cell r="M89"/>
          <cell r="N89"/>
          <cell r="O89"/>
          <cell r="P89"/>
          <cell r="Q89"/>
          <cell r="R89"/>
          <cell r="S89"/>
          <cell r="T89"/>
          <cell r="U89"/>
        </row>
        <row r="90">
          <cell r="B90" t="str">
            <v>Water Heating - GFHX-New</v>
          </cell>
          <cell r="C90"/>
          <cell r="D90"/>
          <cell r="E90"/>
          <cell r="F90"/>
          <cell r="G90"/>
          <cell r="H90"/>
          <cell r="I90"/>
          <cell r="J90"/>
          <cell r="K90"/>
          <cell r="L90"/>
          <cell r="M90"/>
          <cell r="N90"/>
          <cell r="O90"/>
          <cell r="P90"/>
          <cell r="Q90"/>
          <cell r="R90"/>
          <cell r="S90"/>
          <cell r="T90"/>
          <cell r="U90"/>
        </row>
        <row r="91">
          <cell r="B91" t="str">
            <v>Demand Control Circulating system DHW-Retro</v>
          </cell>
          <cell r="C91"/>
          <cell r="D91"/>
          <cell r="E91"/>
          <cell r="F91"/>
          <cell r="G91"/>
          <cell r="H91"/>
          <cell r="I91"/>
          <cell r="J91"/>
          <cell r="K91"/>
          <cell r="L91"/>
          <cell r="M91"/>
          <cell r="N91"/>
          <cell r="O91"/>
          <cell r="P91"/>
          <cell r="Q91"/>
          <cell r="R91"/>
          <cell r="S91"/>
          <cell r="T91"/>
          <cell r="U91"/>
        </row>
        <row r="92">
          <cell r="B92" t="str">
            <v>Central HPWH MF-Retro</v>
          </cell>
          <cell r="C92"/>
          <cell r="D92"/>
          <cell r="E92"/>
          <cell r="F92"/>
          <cell r="G92"/>
          <cell r="H92"/>
          <cell r="I92"/>
          <cell r="J92"/>
          <cell r="K92"/>
          <cell r="L92"/>
          <cell r="M92"/>
          <cell r="N92"/>
          <cell r="O92"/>
          <cell r="P92"/>
          <cell r="Q92"/>
          <cell r="R92"/>
          <cell r="S92"/>
          <cell r="T92"/>
          <cell r="U92"/>
        </row>
        <row r="93">
          <cell r="B93" t="str">
            <v>Integrated Building Design-New</v>
          </cell>
          <cell r="C93"/>
          <cell r="D93"/>
          <cell r="E93"/>
          <cell r="F93"/>
          <cell r="G93"/>
          <cell r="H93"/>
          <cell r="I93"/>
          <cell r="J93"/>
          <cell r="K93"/>
          <cell r="L93"/>
          <cell r="M93"/>
          <cell r="N93"/>
          <cell r="O93"/>
          <cell r="P93"/>
          <cell r="Q93"/>
          <cell r="R93"/>
          <cell r="S93"/>
          <cell r="T93"/>
          <cell r="U93"/>
        </row>
        <row r="94">
          <cell r="C94"/>
          <cell r="D94"/>
          <cell r="E94"/>
          <cell r="F94"/>
          <cell r="G94"/>
          <cell r="H94"/>
          <cell r="I94"/>
          <cell r="J94"/>
          <cell r="K94"/>
          <cell r="L94"/>
          <cell r="M94"/>
          <cell r="N94"/>
          <cell r="O94"/>
          <cell r="P94"/>
          <cell r="Q94"/>
          <cell r="R94"/>
          <cell r="S94"/>
          <cell r="T94"/>
        </row>
        <row r="95">
          <cell r="C95"/>
          <cell r="D95"/>
          <cell r="E95"/>
          <cell r="F95"/>
          <cell r="G95"/>
          <cell r="H95"/>
          <cell r="I95"/>
          <cell r="J95"/>
          <cell r="K95"/>
          <cell r="L95"/>
          <cell r="M95"/>
          <cell r="N95"/>
          <cell r="O95"/>
          <cell r="P95"/>
          <cell r="Q95"/>
          <cell r="R95"/>
          <cell r="S95"/>
          <cell r="T95"/>
        </row>
      </sheetData>
      <sheetData sheetId="8">
        <row r="12">
          <cell r="B12" t="str">
            <v>Compressed Air Controls-Retro</v>
          </cell>
          <cell r="C12" t="str">
            <v>Retro 20% Remain</v>
          </cell>
          <cell r="D12">
            <v>0.2</v>
          </cell>
          <cell r="E12">
            <v>0.16000000000000003</v>
          </cell>
          <cell r="F12">
            <v>0.12799999999999995</v>
          </cell>
          <cell r="G12">
            <v>0.10240000000000005</v>
          </cell>
          <cell r="H12">
            <v>8.1919999999999993E-2</v>
          </cell>
          <cell r="I12">
            <v>6.5536000000000039E-2</v>
          </cell>
          <cell r="J12">
            <v>5.2428799999999942E-2</v>
          </cell>
          <cell r="K12">
            <v>4.1943040000000043E-2</v>
          </cell>
          <cell r="L12">
            <v>3.3554431999999967E-2</v>
          </cell>
          <cell r="M12">
            <v>2.6843545600000018E-2</v>
          </cell>
          <cell r="N12">
            <v>2.1474836480000037E-2</v>
          </cell>
          <cell r="O12">
            <v>1.7179869183999941E-2</v>
          </cell>
          <cell r="P12">
            <v>1.3743895347199997E-2</v>
          </cell>
          <cell r="Q12">
            <v>1.0995116277759953E-2</v>
          </cell>
          <cell r="R12">
            <v>8.7960930222079625E-3</v>
          </cell>
          <cell r="S12">
            <v>7.0368744177664588E-3</v>
          </cell>
          <cell r="T12">
            <v>5.6294995342131005E-3</v>
          </cell>
          <cell r="U12">
            <v>4.5035996273704582E-3</v>
          </cell>
          <cell r="V12">
            <v>3.6028797018964331E-3</v>
          </cell>
          <cell r="W12">
            <v>2.8823037615171021E-3</v>
          </cell>
          <cell r="X12"/>
        </row>
        <row r="13">
          <cell r="B13" t="str">
            <v>Compressed Air Improvements-Retro</v>
          </cell>
          <cell r="C13" t="str">
            <v>Retro 20% Remain</v>
          </cell>
          <cell r="D13">
            <v>0.2</v>
          </cell>
          <cell r="E13">
            <v>0.16000000000000003</v>
          </cell>
          <cell r="F13">
            <v>0.12799999999999995</v>
          </cell>
          <cell r="G13">
            <v>0.10240000000000005</v>
          </cell>
          <cell r="H13">
            <v>8.1919999999999993E-2</v>
          </cell>
          <cell r="I13">
            <v>6.5536000000000039E-2</v>
          </cell>
          <cell r="J13">
            <v>5.2428799999999942E-2</v>
          </cell>
          <cell r="K13">
            <v>4.1943040000000043E-2</v>
          </cell>
          <cell r="L13">
            <v>3.3554431999999967E-2</v>
          </cell>
          <cell r="M13">
            <v>2.6843545600000018E-2</v>
          </cell>
          <cell r="N13">
            <v>2.1474836480000037E-2</v>
          </cell>
          <cell r="O13">
            <v>1.7179869183999941E-2</v>
          </cell>
          <cell r="P13">
            <v>1.3743895347199997E-2</v>
          </cell>
          <cell r="Q13">
            <v>1.0995116277759953E-2</v>
          </cell>
          <cell r="R13">
            <v>8.7960930222079625E-3</v>
          </cell>
          <cell r="S13">
            <v>7.0368744177664588E-3</v>
          </cell>
          <cell r="T13">
            <v>5.6294995342131005E-3</v>
          </cell>
          <cell r="U13">
            <v>4.5035996273704582E-3</v>
          </cell>
          <cell r="V13">
            <v>3.6028797018964331E-3</v>
          </cell>
          <cell r="W13">
            <v>2.8823037615171021E-3</v>
          </cell>
          <cell r="X13"/>
        </row>
        <row r="14">
          <cell r="B14" t="str">
            <v>Network PC Power Management-Retro</v>
          </cell>
          <cell r="C14" t="str">
            <v>Retro 20% Remain</v>
          </cell>
          <cell r="D14">
            <v>0.2</v>
          </cell>
          <cell r="E14">
            <v>0.16000000000000003</v>
          </cell>
          <cell r="F14">
            <v>0.12799999999999995</v>
          </cell>
          <cell r="G14">
            <v>0.10240000000000005</v>
          </cell>
          <cell r="H14">
            <v>8.1919999999999993E-2</v>
          </cell>
          <cell r="I14">
            <v>6.5536000000000039E-2</v>
          </cell>
          <cell r="J14">
            <v>5.2428799999999942E-2</v>
          </cell>
          <cell r="K14">
            <v>4.1943040000000043E-2</v>
          </cell>
          <cell r="L14">
            <v>3.3554431999999967E-2</v>
          </cell>
          <cell r="M14">
            <v>2.6843545600000018E-2</v>
          </cell>
          <cell r="N14">
            <v>2.1474836480000037E-2</v>
          </cell>
          <cell r="O14">
            <v>1.7179869183999941E-2</v>
          </cell>
          <cell r="P14">
            <v>1.3743895347199997E-2</v>
          </cell>
          <cell r="Q14">
            <v>1.0995116277759953E-2</v>
          </cell>
          <cell r="R14">
            <v>8.7960930222079625E-3</v>
          </cell>
          <cell r="S14">
            <v>7.0368744177664588E-3</v>
          </cell>
          <cell r="T14">
            <v>5.6294995342131005E-3</v>
          </cell>
          <cell r="U14">
            <v>4.5035996273704582E-3</v>
          </cell>
          <cell r="V14">
            <v>3.6028797018964331E-3</v>
          </cell>
          <cell r="W14">
            <v>2.8823037615171021E-3</v>
          </cell>
          <cell r="X14"/>
        </row>
        <row r="15">
          <cell r="B15" t="str">
            <v>Computer Servers and IT-Retro</v>
          </cell>
          <cell r="C15" t="str">
            <v>LO 6Slow</v>
          </cell>
          <cell r="D15">
            <v>6.8006676335559124E-2</v>
          </cell>
          <cell r="E15">
            <v>0.10723118716323699</v>
          </cell>
          <cell r="F15">
            <v>0.16075403531961785</v>
          </cell>
          <cell r="G15">
            <v>0.23010433848725742</v>
          </cell>
          <cell r="H15">
            <v>0.31530886572260808</v>
          </cell>
          <cell r="I15">
            <v>0.41422820049939479</v>
          </cell>
          <cell r="J15">
            <v>0.52217378221316368</v>
          </cell>
          <cell r="K15">
            <v>0.63212055882855767</v>
          </cell>
          <cell r="L15">
            <v>0.73573838719247031</v>
          </cell>
          <cell r="M15">
            <v>0.82516407372252298</v>
          </cell>
          <cell r="N15">
            <v>0.89499508167340658</v>
          </cell>
          <cell r="O15">
            <v>0.94366375299868188</v>
          </cell>
          <cell r="P15">
            <v>0.97347543075920995</v>
          </cell>
          <cell r="Q15">
            <v>0.9892526107788493</v>
          </cell>
          <cell r="R15">
            <v>0.9963317715481067</v>
          </cell>
          <cell r="S15">
            <v>0.9989696877188875</v>
          </cell>
          <cell r="T15">
            <v>0.99976782261572095</v>
          </cell>
          <cell r="U15">
            <v>0.99995916135687979</v>
          </cell>
          <cell r="V15">
            <v>0.99999455709765817</v>
          </cell>
          <cell r="W15">
            <v>0.99999946762935688</v>
          </cell>
          <cell r="X15"/>
        </row>
        <row r="16">
          <cell r="B16" t="str">
            <v>Smart Plug Power Strips-Retro</v>
          </cell>
          <cell r="C16" t="str">
            <v>Retro 10% Remain</v>
          </cell>
          <cell r="D16">
            <v>0.1</v>
          </cell>
          <cell r="E16">
            <v>0.09</v>
          </cell>
          <cell r="F16">
            <v>8.1000000000000016E-2</v>
          </cell>
          <cell r="G16">
            <v>7.290000000000002E-2</v>
          </cell>
          <cell r="H16">
            <v>6.5610000000000002E-2</v>
          </cell>
          <cell r="I16">
            <v>5.9049000000000018E-2</v>
          </cell>
          <cell r="J16">
            <v>5.3144100000000027E-2</v>
          </cell>
          <cell r="K16">
            <v>4.7829690000000036E-2</v>
          </cell>
          <cell r="L16">
            <v>4.3046720999999954E-2</v>
          </cell>
          <cell r="M16">
            <v>3.8742048899999992E-2</v>
          </cell>
          <cell r="N16">
            <v>3.4867844009999982E-2</v>
          </cell>
          <cell r="O16">
            <v>3.1381059608999951E-2</v>
          </cell>
          <cell r="P16">
            <v>2.8242953648100033E-2</v>
          </cell>
          <cell r="Q16">
            <v>2.5418658283290041E-2</v>
          </cell>
          <cell r="R16">
            <v>2.2876792454960992E-2</v>
          </cell>
          <cell r="S16">
            <v>2.0589113209464882E-2</v>
          </cell>
          <cell r="T16">
            <v>1.8530201888518394E-2</v>
          </cell>
          <cell r="U16">
            <v>1.6677181699666588E-2</v>
          </cell>
          <cell r="V16">
            <v>1.5009463529699896E-2</v>
          </cell>
          <cell r="W16">
            <v>1.3508517176729962E-2</v>
          </cell>
          <cell r="X16"/>
        </row>
        <row r="17">
          <cell r="B17" t="str">
            <v>Data Centers-Retro</v>
          </cell>
          <cell r="C17" t="str">
            <v>Retro 10% Remain</v>
          </cell>
          <cell r="D17">
            <v>0.1</v>
          </cell>
          <cell r="E17">
            <v>0.09</v>
          </cell>
          <cell r="F17">
            <v>8.1000000000000016E-2</v>
          </cell>
          <cell r="G17">
            <v>7.290000000000002E-2</v>
          </cell>
          <cell r="H17">
            <v>6.5610000000000002E-2</v>
          </cell>
          <cell r="I17">
            <v>5.9049000000000018E-2</v>
          </cell>
          <cell r="J17">
            <v>5.3144100000000027E-2</v>
          </cell>
          <cell r="K17">
            <v>4.7829690000000036E-2</v>
          </cell>
          <cell r="L17">
            <v>4.3046720999999954E-2</v>
          </cell>
          <cell r="M17">
            <v>3.8742048899999992E-2</v>
          </cell>
          <cell r="N17">
            <v>3.4867844009999982E-2</v>
          </cell>
          <cell r="O17">
            <v>3.1381059608999951E-2</v>
          </cell>
          <cell r="P17">
            <v>2.8242953648100033E-2</v>
          </cell>
          <cell r="Q17">
            <v>2.5418658283290041E-2</v>
          </cell>
          <cell r="R17">
            <v>2.2876792454960992E-2</v>
          </cell>
          <cell r="S17">
            <v>2.0589113209464882E-2</v>
          </cell>
          <cell r="T17">
            <v>1.8530201888518394E-2</v>
          </cell>
          <cell r="U17">
            <v>1.6677181699666588E-2</v>
          </cell>
          <cell r="V17">
            <v>1.5009463529699896E-2</v>
          </cell>
          <cell r="W17">
            <v>1.3508517176729962E-2</v>
          </cell>
          <cell r="X17"/>
        </row>
        <row r="18">
          <cell r="B18" t="str">
            <v>Average Commercial Computer Monitor-Retro</v>
          </cell>
          <cell r="C18" t="str">
            <v>Retro 10% Remain</v>
          </cell>
          <cell r="D18">
            <v>0.1</v>
          </cell>
          <cell r="E18">
            <v>0.09</v>
          </cell>
          <cell r="F18">
            <v>8.1000000000000016E-2</v>
          </cell>
          <cell r="G18">
            <v>7.290000000000002E-2</v>
          </cell>
          <cell r="H18">
            <v>6.5610000000000002E-2</v>
          </cell>
          <cell r="I18">
            <v>5.9049000000000018E-2</v>
          </cell>
          <cell r="J18">
            <v>5.3144100000000027E-2</v>
          </cell>
          <cell r="K18">
            <v>4.7829690000000036E-2</v>
          </cell>
          <cell r="L18">
            <v>4.3046720999999954E-2</v>
          </cell>
          <cell r="M18">
            <v>3.8742048899999992E-2</v>
          </cell>
          <cell r="N18">
            <v>3.4867844009999982E-2</v>
          </cell>
          <cell r="O18">
            <v>3.1381059608999951E-2</v>
          </cell>
          <cell r="P18">
            <v>2.8242953648100033E-2</v>
          </cell>
          <cell r="Q18">
            <v>2.5418658283290041E-2</v>
          </cell>
          <cell r="R18">
            <v>2.2876792454960992E-2</v>
          </cell>
          <cell r="S18">
            <v>2.0589113209464882E-2</v>
          </cell>
          <cell r="T18">
            <v>1.8530201888518394E-2</v>
          </cell>
          <cell r="U18">
            <v>1.6677181699666588E-2</v>
          </cell>
          <cell r="V18">
            <v>1.5009463529699896E-2</v>
          </cell>
          <cell r="W18">
            <v>1.3508517176729962E-2</v>
          </cell>
          <cell r="X18"/>
        </row>
        <row r="19">
          <cell r="B19" t="str">
            <v>Average Commercial Computer-Retro</v>
          </cell>
          <cell r="C19" t="str">
            <v>Retro 10% Remain</v>
          </cell>
          <cell r="D19">
            <v>0.1</v>
          </cell>
          <cell r="E19">
            <v>0.09</v>
          </cell>
          <cell r="F19">
            <v>8.1000000000000016E-2</v>
          </cell>
          <cell r="G19">
            <v>7.290000000000002E-2</v>
          </cell>
          <cell r="H19">
            <v>6.5610000000000002E-2</v>
          </cell>
          <cell r="I19">
            <v>5.9049000000000018E-2</v>
          </cell>
          <cell r="J19">
            <v>5.3144100000000027E-2</v>
          </cell>
          <cell r="K19">
            <v>4.7829690000000036E-2</v>
          </cell>
          <cell r="L19">
            <v>4.3046720999999954E-2</v>
          </cell>
          <cell r="M19">
            <v>3.8742048899999992E-2</v>
          </cell>
          <cell r="N19">
            <v>3.4867844009999982E-2</v>
          </cell>
          <cell r="O19">
            <v>3.1381059608999951E-2</v>
          </cell>
          <cell r="P19">
            <v>2.8242953648100033E-2</v>
          </cell>
          <cell r="Q19">
            <v>2.5418658283290041E-2</v>
          </cell>
          <cell r="R19">
            <v>2.2876792454960992E-2</v>
          </cell>
          <cell r="S19">
            <v>2.0589113209464882E-2</v>
          </cell>
          <cell r="T19">
            <v>1.8530201888518394E-2</v>
          </cell>
          <cell r="U19">
            <v>1.6677181699666588E-2</v>
          </cell>
          <cell r="V19">
            <v>1.5009463529699896E-2</v>
          </cell>
          <cell r="W19">
            <v>1.3508517176729962E-2</v>
          </cell>
          <cell r="X19"/>
        </row>
        <row r="20">
          <cell r="B20" t="str">
            <v>Pre-Rinse Spray Valve-Retro</v>
          </cell>
          <cell r="C20" t="str">
            <v>LO 20Fast</v>
          </cell>
          <cell r="D20">
            <v>0.22119921692859512</v>
          </cell>
          <cell r="E20">
            <v>0.39346934028736658</v>
          </cell>
          <cell r="F20">
            <v>0.52763344725898531</v>
          </cell>
          <cell r="G20">
            <v>0.63212055882855767</v>
          </cell>
          <cell r="H20">
            <v>0.71349520313980985</v>
          </cell>
          <cell r="I20">
            <v>0.77686983985157021</v>
          </cell>
          <cell r="J20">
            <v>0.82622605654955483</v>
          </cell>
          <cell r="K20">
            <v>0.8646647167633873</v>
          </cell>
          <cell r="L20">
            <v>0.89460077543813565</v>
          </cell>
          <cell r="M20">
            <v>0.91791500137610116</v>
          </cell>
          <cell r="N20">
            <v>0.93607213879329243</v>
          </cell>
          <cell r="O20">
            <v>0.95021293163213605</v>
          </cell>
          <cell r="P20">
            <v>0.96122579216827797</v>
          </cell>
          <cell r="Q20">
            <v>0.96980261657768152</v>
          </cell>
          <cell r="R20">
            <v>0.97648225414399092</v>
          </cell>
          <cell r="S20">
            <v>0.98168436111126578</v>
          </cell>
          <cell r="T20">
            <v>0.98573576609100078</v>
          </cell>
          <cell r="U20">
            <v>0.98889100346175773</v>
          </cell>
          <cell r="V20">
            <v>0.99134830479687941</v>
          </cell>
          <cell r="W20">
            <v>0.99326205300091452</v>
          </cell>
          <cell r="X20"/>
        </row>
        <row r="21">
          <cell r="B21" t="str">
            <v>Cooking Equipment-NR</v>
          </cell>
          <cell r="C21" t="str">
            <v>LO 12Med</v>
          </cell>
          <cell r="D21">
            <v>0.14319153465074486</v>
          </cell>
          <cell r="E21">
            <v>0.23198513316745922</v>
          </cell>
          <cell r="F21">
            <v>0.34051064246566576</v>
          </cell>
          <cell r="G21">
            <v>0.45988870269369292</v>
          </cell>
          <cell r="H21">
            <v>0.57926676292172008</v>
          </cell>
          <cell r="I21">
            <v>0.68869665146407821</v>
          </cell>
          <cell r="J21">
            <v>0.78129117253838121</v>
          </cell>
          <cell r="K21">
            <v>0.85404401052533374</v>
          </cell>
          <cell r="L21">
            <v>0.90739609171576541</v>
          </cell>
          <cell r="M21">
            <v>0.94407564753418727</v>
          </cell>
          <cell r="N21">
            <v>0.96780947776963666</v>
          </cell>
          <cell r="O21">
            <v>0.98231348513574457</v>
          </cell>
          <cell r="P21">
            <v>0.99071054203191222</v>
          </cell>
          <cell r="Q21">
            <v>0.9953289233248046</v>
          </cell>
          <cell r="R21">
            <v>0.9977480754306054</v>
          </cell>
          <cell r="S21">
            <v>0.99895765148350579</v>
          </cell>
          <cell r="T21">
            <v>0.99953614437837124</v>
          </cell>
          <cell r="U21">
            <v>0.99980128695518455</v>
          </cell>
          <cell r="V21">
            <v>0.99991794968898218</v>
          </cell>
          <cell r="W21">
            <v>0.99996730699943515</v>
          </cell>
          <cell r="X21"/>
        </row>
        <row r="22">
          <cell r="B22" t="str">
            <v>Premium HVAC Equipment-New</v>
          </cell>
          <cell r="C22" t="str">
            <v>LO 20Fast</v>
          </cell>
          <cell r="D22">
            <v>0.22119921692859512</v>
          </cell>
          <cell r="E22">
            <v>0.39346934028736658</v>
          </cell>
          <cell r="F22">
            <v>0.52763344725898531</v>
          </cell>
          <cell r="G22">
            <v>0.63212055882855767</v>
          </cell>
          <cell r="H22">
            <v>0.71349520313980985</v>
          </cell>
          <cell r="I22">
            <v>0.77686983985157021</v>
          </cell>
          <cell r="J22">
            <v>0.82622605654955483</v>
          </cell>
          <cell r="K22">
            <v>0.8646647167633873</v>
          </cell>
          <cell r="L22">
            <v>0.89460077543813565</v>
          </cell>
          <cell r="M22">
            <v>0.91791500137610116</v>
          </cell>
          <cell r="N22">
            <v>0.93607213879329243</v>
          </cell>
          <cell r="O22">
            <v>0.95021293163213605</v>
          </cell>
          <cell r="P22">
            <v>0.96122579216827797</v>
          </cell>
          <cell r="Q22">
            <v>0.96980261657768152</v>
          </cell>
          <cell r="R22">
            <v>0.97648225414399092</v>
          </cell>
          <cell r="S22">
            <v>0.98168436111126578</v>
          </cell>
          <cell r="T22">
            <v>0.98573576609100078</v>
          </cell>
          <cell r="U22">
            <v>0.98889100346175773</v>
          </cell>
          <cell r="V22">
            <v>0.99134830479687941</v>
          </cell>
          <cell r="W22">
            <v>0.99326205300091452</v>
          </cell>
          <cell r="X22"/>
        </row>
        <row r="23">
          <cell r="B23" t="str">
            <v>Premium HVAC Equipment-NR</v>
          </cell>
          <cell r="C23" t="str">
            <v>LO 20Fast</v>
          </cell>
          <cell r="D23">
            <v>0.22119921692859512</v>
          </cell>
          <cell r="E23">
            <v>0.39346934028736658</v>
          </cell>
          <cell r="F23">
            <v>0.52763344725898531</v>
          </cell>
          <cell r="G23">
            <v>0.63212055882855767</v>
          </cell>
          <cell r="H23">
            <v>0.71349520313980985</v>
          </cell>
          <cell r="I23">
            <v>0.77686983985157021</v>
          </cell>
          <cell r="J23">
            <v>0.82622605654955483</v>
          </cell>
          <cell r="K23">
            <v>0.8646647167633873</v>
          </cell>
          <cell r="L23">
            <v>0.89460077543813565</v>
          </cell>
          <cell r="M23">
            <v>0.91791500137610116</v>
          </cell>
          <cell r="N23">
            <v>0.93607213879329243</v>
          </cell>
          <cell r="O23">
            <v>0.95021293163213605</v>
          </cell>
          <cell r="P23">
            <v>0.96122579216827797</v>
          </cell>
          <cell r="Q23">
            <v>0.96980261657768152</v>
          </cell>
          <cell r="R23">
            <v>0.97648225414399092</v>
          </cell>
          <cell r="S23">
            <v>0.98168436111126578</v>
          </cell>
          <cell r="T23">
            <v>0.98573576609100078</v>
          </cell>
          <cell r="U23">
            <v>0.98889100346175773</v>
          </cell>
          <cell r="V23">
            <v>0.99134830479687941</v>
          </cell>
          <cell r="W23">
            <v>0.99326205300091452</v>
          </cell>
          <cell r="X23"/>
        </row>
        <row r="24">
          <cell r="B24" t="str">
            <v>Glass-New</v>
          </cell>
          <cell r="C24" t="str">
            <v>LO 20Fast</v>
          </cell>
          <cell r="D24">
            <v>0.22119921692859512</v>
          </cell>
          <cell r="E24">
            <v>0.39346934028736658</v>
          </cell>
          <cell r="F24">
            <v>0.52763344725898531</v>
          </cell>
          <cell r="G24">
            <v>0.63212055882855767</v>
          </cell>
          <cell r="H24">
            <v>0.71349520313980985</v>
          </cell>
          <cell r="I24">
            <v>0.77686983985157021</v>
          </cell>
          <cell r="J24">
            <v>0.82622605654955483</v>
          </cell>
          <cell r="K24">
            <v>0.8646647167633873</v>
          </cell>
          <cell r="L24">
            <v>0.89460077543813565</v>
          </cell>
          <cell r="M24">
            <v>0.91791500137610116</v>
          </cell>
          <cell r="N24">
            <v>0.93607213879329243</v>
          </cell>
          <cell r="O24">
            <v>0.95021293163213605</v>
          </cell>
          <cell r="P24">
            <v>0.96122579216827797</v>
          </cell>
          <cell r="Q24">
            <v>0.96980261657768152</v>
          </cell>
          <cell r="R24">
            <v>0.97648225414399092</v>
          </cell>
          <cell r="S24">
            <v>0.98168436111126578</v>
          </cell>
          <cell r="T24">
            <v>0.98573576609100078</v>
          </cell>
          <cell r="U24">
            <v>0.98889100346175773</v>
          </cell>
          <cell r="V24">
            <v>0.99134830479687941</v>
          </cell>
          <cell r="W24">
            <v>0.99326205300091452</v>
          </cell>
          <cell r="X24"/>
        </row>
        <row r="25">
          <cell r="B25" t="str">
            <v>Glass-NR</v>
          </cell>
          <cell r="C25" t="str">
            <v>LO 20Fast</v>
          </cell>
          <cell r="D25">
            <v>0.22119921692859512</v>
          </cell>
          <cell r="E25">
            <v>0.39346934028736658</v>
          </cell>
          <cell r="F25">
            <v>0.52763344725898531</v>
          </cell>
          <cell r="G25">
            <v>0.63212055882855767</v>
          </cell>
          <cell r="H25">
            <v>0.71349520313980985</v>
          </cell>
          <cell r="I25">
            <v>0.77686983985157021</v>
          </cell>
          <cell r="J25">
            <v>0.82622605654955483</v>
          </cell>
          <cell r="K25">
            <v>0.8646647167633873</v>
          </cell>
          <cell r="L25">
            <v>0.89460077543813565</v>
          </cell>
          <cell r="M25">
            <v>0.91791500137610116</v>
          </cell>
          <cell r="N25">
            <v>0.93607213879329243</v>
          </cell>
          <cell r="O25">
            <v>0.95021293163213605</v>
          </cell>
          <cell r="P25">
            <v>0.96122579216827797</v>
          </cell>
          <cell r="Q25">
            <v>0.96980261657768152</v>
          </cell>
          <cell r="R25">
            <v>0.97648225414399092</v>
          </cell>
          <cell r="S25">
            <v>0.98168436111126578</v>
          </cell>
          <cell r="T25">
            <v>0.98573576609100078</v>
          </cell>
          <cell r="U25">
            <v>0.98889100346175773</v>
          </cell>
          <cell r="V25">
            <v>0.99134830479687941</v>
          </cell>
          <cell r="W25">
            <v>0.99326205300091452</v>
          </cell>
          <cell r="X25"/>
        </row>
        <row r="26">
          <cell r="B26" t="str">
            <v>Glass-Retro</v>
          </cell>
          <cell r="C26" t="str">
            <v>Retro 20% Remain</v>
          </cell>
          <cell r="D26">
            <v>0.2</v>
          </cell>
          <cell r="E26">
            <v>0.16000000000000003</v>
          </cell>
          <cell r="F26">
            <v>0.12799999999999995</v>
          </cell>
          <cell r="G26">
            <v>0.10240000000000005</v>
          </cell>
          <cell r="H26">
            <v>8.1919999999999993E-2</v>
          </cell>
          <cell r="I26">
            <v>6.5536000000000039E-2</v>
          </cell>
          <cell r="J26">
            <v>5.2428799999999942E-2</v>
          </cell>
          <cell r="K26">
            <v>4.1943040000000043E-2</v>
          </cell>
          <cell r="L26">
            <v>3.3554431999999967E-2</v>
          </cell>
          <cell r="M26">
            <v>2.6843545600000018E-2</v>
          </cell>
          <cell r="N26">
            <v>2.1474836480000037E-2</v>
          </cell>
          <cell r="O26">
            <v>1.7179869183999941E-2</v>
          </cell>
          <cell r="P26">
            <v>1.3743895347199997E-2</v>
          </cell>
          <cell r="Q26">
            <v>1.0995116277759953E-2</v>
          </cell>
          <cell r="R26">
            <v>8.7960930222079625E-3</v>
          </cell>
          <cell r="S26">
            <v>7.0368744177664588E-3</v>
          </cell>
          <cell r="T26">
            <v>5.6294995342131005E-3</v>
          </cell>
          <cell r="U26">
            <v>4.5035996273704582E-3</v>
          </cell>
          <cell r="V26">
            <v>3.6028797018964331E-3</v>
          </cell>
          <cell r="W26">
            <v>2.8823037615171021E-3</v>
          </cell>
          <cell r="X26"/>
        </row>
        <row r="27">
          <cell r="B27" t="str">
            <v>Advanced Rooftop Controller-New</v>
          </cell>
          <cell r="C27" t="str">
            <v>Retro New Measure Med</v>
          </cell>
          <cell r="D27">
            <v>0.01</v>
          </cell>
          <cell r="E27">
            <v>0.02</v>
          </cell>
          <cell r="F27">
            <v>0.03</v>
          </cell>
          <cell r="G27">
            <v>0.04</v>
          </cell>
          <cell r="H27">
            <v>0.05</v>
          </cell>
          <cell r="I27">
            <v>5.6666666666666664E-2</v>
          </cell>
          <cell r="J27">
            <v>5.6666666666666664E-2</v>
          </cell>
          <cell r="K27">
            <v>5.6666666666666664E-2</v>
          </cell>
          <cell r="L27">
            <v>5.6666666666666664E-2</v>
          </cell>
          <cell r="M27">
            <v>5.6666666666666664E-2</v>
          </cell>
          <cell r="N27">
            <v>5.6666666666666664E-2</v>
          </cell>
          <cell r="O27">
            <v>5.6666666666666664E-2</v>
          </cell>
          <cell r="P27">
            <v>5.6666666666666664E-2</v>
          </cell>
          <cell r="Q27">
            <v>5.6666666666666664E-2</v>
          </cell>
          <cell r="R27">
            <v>5.6666666666666664E-2</v>
          </cell>
          <cell r="S27">
            <v>5.6666666666666664E-2</v>
          </cell>
          <cell r="T27">
            <v>5.6666666666666664E-2</v>
          </cell>
          <cell r="U27">
            <v>5.6666666666666664E-2</v>
          </cell>
          <cell r="V27">
            <v>5.6666666666666664E-2</v>
          </cell>
          <cell r="W27">
            <v>5.6666666666666664E-2</v>
          </cell>
          <cell r="X27"/>
        </row>
        <row r="28">
          <cell r="B28" t="str">
            <v>Advanced Rooftop Controller-NR</v>
          </cell>
          <cell r="C28" t="str">
            <v>Retro New Measure Med</v>
          </cell>
          <cell r="D28">
            <v>0.01</v>
          </cell>
          <cell r="E28">
            <v>0.02</v>
          </cell>
          <cell r="F28">
            <v>0.03</v>
          </cell>
          <cell r="G28">
            <v>0.04</v>
          </cell>
          <cell r="H28">
            <v>0.05</v>
          </cell>
          <cell r="I28">
            <v>5.6666666666666664E-2</v>
          </cell>
          <cell r="J28">
            <v>5.6666666666666664E-2</v>
          </cell>
          <cell r="K28">
            <v>5.6666666666666664E-2</v>
          </cell>
          <cell r="L28">
            <v>5.6666666666666664E-2</v>
          </cell>
          <cell r="M28">
            <v>5.6666666666666664E-2</v>
          </cell>
          <cell r="N28">
            <v>5.6666666666666664E-2</v>
          </cell>
          <cell r="O28">
            <v>5.6666666666666664E-2</v>
          </cell>
          <cell r="P28">
            <v>5.6666666666666664E-2</v>
          </cell>
          <cell r="Q28">
            <v>5.6666666666666664E-2</v>
          </cell>
          <cell r="R28">
            <v>5.6666666666666664E-2</v>
          </cell>
          <cell r="S28">
            <v>5.6666666666666664E-2</v>
          </cell>
          <cell r="T28">
            <v>5.6666666666666664E-2</v>
          </cell>
          <cell r="U28">
            <v>5.6666666666666664E-2</v>
          </cell>
          <cell r="V28">
            <v>5.6666666666666664E-2</v>
          </cell>
          <cell r="W28">
            <v>5.6666666666666664E-2</v>
          </cell>
          <cell r="X28"/>
        </row>
        <row r="29">
          <cell r="B29" t="str">
            <v>Advanced Rooftop Controller-Retro</v>
          </cell>
          <cell r="C29" t="str">
            <v>Retro New Measure Med</v>
          </cell>
          <cell r="D29">
            <v>0.01</v>
          </cell>
          <cell r="E29">
            <v>0.02</v>
          </cell>
          <cell r="F29">
            <v>0.03</v>
          </cell>
          <cell r="G29">
            <v>0.04</v>
          </cell>
          <cell r="H29">
            <v>0.05</v>
          </cell>
          <cell r="I29">
            <v>5.6666666666666664E-2</v>
          </cell>
          <cell r="J29">
            <v>5.6666666666666664E-2</v>
          </cell>
          <cell r="K29">
            <v>5.6666666666666664E-2</v>
          </cell>
          <cell r="L29">
            <v>5.6666666666666664E-2</v>
          </cell>
          <cell r="M29">
            <v>5.6666666666666664E-2</v>
          </cell>
          <cell r="N29">
            <v>5.6666666666666664E-2</v>
          </cell>
          <cell r="O29">
            <v>5.6666666666666664E-2</v>
          </cell>
          <cell r="P29">
            <v>5.6666666666666664E-2</v>
          </cell>
          <cell r="Q29">
            <v>5.6666666666666664E-2</v>
          </cell>
          <cell r="R29">
            <v>5.6666666666666664E-2</v>
          </cell>
          <cell r="S29">
            <v>5.6666666666666664E-2</v>
          </cell>
          <cell r="T29">
            <v>5.6666666666666664E-2</v>
          </cell>
          <cell r="U29">
            <v>5.6666666666666664E-2</v>
          </cell>
          <cell r="V29">
            <v>5.6666666666666664E-2</v>
          </cell>
          <cell r="W29">
            <v>5.6666666666666664E-2</v>
          </cell>
          <cell r="X29"/>
        </row>
        <row r="30">
          <cell r="B30" t="str">
            <v>Variable Speed Chiller-New</v>
          </cell>
          <cell r="C30" t="str">
            <v>LO 50Fast</v>
          </cell>
          <cell r="D30">
            <v>0.6159606548330806</v>
          </cell>
          <cell r="E30">
            <v>0.76218346297296036</v>
          </cell>
          <cell r="F30">
            <v>0.86662832593001715</v>
          </cell>
          <cell r="G30">
            <v>0.93190636527817794</v>
          </cell>
          <cell r="H30">
            <v>0.96817194269382267</v>
          </cell>
          <cell r="I30">
            <v>0.98630473140164487</v>
          </cell>
          <cell r="J30">
            <v>0.99454690808701873</v>
          </cell>
          <cell r="K30">
            <v>0.99798114837259111</v>
          </cell>
          <cell r="L30">
            <v>0.99930201002088814</v>
          </cell>
          <cell r="M30">
            <v>0.99977374632385152</v>
          </cell>
          <cell r="N30">
            <v>0.99993099175817246</v>
          </cell>
          <cell r="O30">
            <v>0.99998013095639793</v>
          </cell>
          <cell r="P30">
            <v>0.9999945836617582</v>
          </cell>
          <cell r="Q30">
            <v>0.99999859830213611</v>
          </cell>
          <cell r="R30">
            <v>0.99999965478644626</v>
          </cell>
          <cell r="S30">
            <v>0.99999991890752382</v>
          </cell>
          <cell r="T30">
            <v>0.99999998179349459</v>
          </cell>
          <cell r="U30">
            <v>0.99999999608576073</v>
          </cell>
          <cell r="V30">
            <v>0.99999999919277494</v>
          </cell>
          <cell r="W30">
            <v>0.9999999998400696</v>
          </cell>
          <cell r="X30"/>
        </row>
        <row r="31">
          <cell r="B31" t="str">
            <v>Variable Speed Chiller-NR</v>
          </cell>
          <cell r="C31" t="str">
            <v>LO 50Fast</v>
          </cell>
          <cell r="D31">
            <v>0.6159606548330806</v>
          </cell>
          <cell r="E31">
            <v>0.76218346297296036</v>
          </cell>
          <cell r="F31">
            <v>0.86662832593001715</v>
          </cell>
          <cell r="G31">
            <v>0.93190636527817794</v>
          </cell>
          <cell r="H31">
            <v>0.96817194269382267</v>
          </cell>
          <cell r="I31">
            <v>0.98630473140164487</v>
          </cell>
          <cell r="J31">
            <v>0.99454690808701873</v>
          </cell>
          <cell r="K31">
            <v>0.99798114837259111</v>
          </cell>
          <cell r="L31">
            <v>0.99930201002088814</v>
          </cell>
          <cell r="M31">
            <v>0.99977374632385152</v>
          </cell>
          <cell r="N31">
            <v>0.99993099175817246</v>
          </cell>
          <cell r="O31">
            <v>0.99998013095639793</v>
          </cell>
          <cell r="P31">
            <v>0.9999945836617582</v>
          </cell>
          <cell r="Q31">
            <v>0.99999859830213611</v>
          </cell>
          <cell r="R31">
            <v>0.99999965478644626</v>
          </cell>
          <cell r="S31">
            <v>0.99999991890752382</v>
          </cell>
          <cell r="T31">
            <v>0.99999998179349459</v>
          </cell>
          <cell r="U31">
            <v>0.99999999608576073</v>
          </cell>
          <cell r="V31">
            <v>0.99999999919277494</v>
          </cell>
          <cell r="W31">
            <v>0.9999999998400696</v>
          </cell>
          <cell r="X31"/>
        </row>
        <row r="32">
          <cell r="B32" t="str">
            <v>Commercial EM-New</v>
          </cell>
          <cell r="C32" t="str">
            <v>Retro 10% Remain</v>
          </cell>
          <cell r="D32">
            <v>0.1</v>
          </cell>
          <cell r="E32">
            <v>0.09</v>
          </cell>
          <cell r="F32">
            <v>8.1000000000000016E-2</v>
          </cell>
          <cell r="G32">
            <v>7.290000000000002E-2</v>
          </cell>
          <cell r="H32">
            <v>6.5610000000000002E-2</v>
          </cell>
          <cell r="I32">
            <v>5.9049000000000018E-2</v>
          </cell>
          <cell r="J32">
            <v>5.3144100000000027E-2</v>
          </cell>
          <cell r="K32">
            <v>4.7829690000000036E-2</v>
          </cell>
          <cell r="L32">
            <v>4.3046720999999954E-2</v>
          </cell>
          <cell r="M32">
            <v>3.8742048899999992E-2</v>
          </cell>
          <cell r="N32">
            <v>3.4867844009999982E-2</v>
          </cell>
          <cell r="O32">
            <v>3.1381059608999951E-2</v>
          </cell>
          <cell r="P32">
            <v>2.8242953648100033E-2</v>
          </cell>
          <cell r="Q32">
            <v>2.5418658283290041E-2</v>
          </cell>
          <cell r="R32">
            <v>2.2876792454960992E-2</v>
          </cell>
          <cell r="S32">
            <v>2.0589113209464882E-2</v>
          </cell>
          <cell r="T32">
            <v>1.8530201888518394E-2</v>
          </cell>
          <cell r="U32">
            <v>1.6677181699666588E-2</v>
          </cell>
          <cell r="V32">
            <v>1.5009463529699896E-2</v>
          </cell>
          <cell r="W32">
            <v>1.3508517176729962E-2</v>
          </cell>
          <cell r="X32"/>
        </row>
        <row r="33">
          <cell r="B33" t="str">
            <v>Commercial EM-NR</v>
          </cell>
          <cell r="C33" t="str">
            <v>Retro 10% Remain</v>
          </cell>
          <cell r="D33">
            <v>0.1</v>
          </cell>
          <cell r="E33">
            <v>0.09</v>
          </cell>
          <cell r="F33">
            <v>8.1000000000000016E-2</v>
          </cell>
          <cell r="G33">
            <v>7.290000000000002E-2</v>
          </cell>
          <cell r="H33">
            <v>6.5610000000000002E-2</v>
          </cell>
          <cell r="I33">
            <v>5.9049000000000018E-2</v>
          </cell>
          <cell r="J33">
            <v>5.3144100000000027E-2</v>
          </cell>
          <cell r="K33">
            <v>4.7829690000000036E-2</v>
          </cell>
          <cell r="L33">
            <v>4.3046720999999954E-2</v>
          </cell>
          <cell r="M33">
            <v>3.8742048899999992E-2</v>
          </cell>
          <cell r="N33">
            <v>3.4867844009999982E-2</v>
          </cell>
          <cell r="O33">
            <v>3.1381059608999951E-2</v>
          </cell>
          <cell r="P33">
            <v>2.8242953648100033E-2</v>
          </cell>
          <cell r="Q33">
            <v>2.5418658283290041E-2</v>
          </cell>
          <cell r="R33">
            <v>2.2876792454960992E-2</v>
          </cell>
          <cell r="S33">
            <v>2.0589113209464882E-2</v>
          </cell>
          <cell r="T33">
            <v>1.8530201888518394E-2</v>
          </cell>
          <cell r="U33">
            <v>1.6677181699666588E-2</v>
          </cell>
          <cell r="V33">
            <v>1.5009463529699896E-2</v>
          </cell>
          <cell r="W33">
            <v>1.3508517176729962E-2</v>
          </cell>
          <cell r="X33"/>
        </row>
        <row r="34">
          <cell r="B34" t="str">
            <v>Commercial EM-Retro</v>
          </cell>
          <cell r="C34" t="str">
            <v>Retro 10% Remain</v>
          </cell>
          <cell r="D34">
            <v>0.1</v>
          </cell>
          <cell r="E34">
            <v>0.09</v>
          </cell>
          <cell r="F34">
            <v>8.1000000000000016E-2</v>
          </cell>
          <cell r="G34">
            <v>7.290000000000002E-2</v>
          </cell>
          <cell r="H34">
            <v>6.5610000000000002E-2</v>
          </cell>
          <cell r="I34">
            <v>5.9049000000000018E-2</v>
          </cell>
          <cell r="J34">
            <v>5.3144100000000027E-2</v>
          </cell>
          <cell r="K34">
            <v>4.7829690000000036E-2</v>
          </cell>
          <cell r="L34">
            <v>4.3046720999999954E-2</v>
          </cell>
          <cell r="M34">
            <v>3.8742048899999992E-2</v>
          </cell>
          <cell r="N34">
            <v>3.4867844009999982E-2</v>
          </cell>
          <cell r="O34">
            <v>3.1381059608999951E-2</v>
          </cell>
          <cell r="P34">
            <v>2.8242953648100033E-2</v>
          </cell>
          <cell r="Q34">
            <v>2.5418658283290041E-2</v>
          </cell>
          <cell r="R34">
            <v>2.2876792454960992E-2</v>
          </cell>
          <cell r="S34">
            <v>2.0589113209464882E-2</v>
          </cell>
          <cell r="T34">
            <v>1.8530201888518394E-2</v>
          </cell>
          <cell r="U34">
            <v>1.6677181699666588E-2</v>
          </cell>
          <cell r="V34">
            <v>1.5009463529699896E-2</v>
          </cell>
          <cell r="W34">
            <v>1.3508517176729962E-2</v>
          </cell>
          <cell r="X34"/>
        </row>
        <row r="35">
          <cell r="B35" t="str">
            <v>Evaporative Assist Cooling-New</v>
          </cell>
          <cell r="C35" t="str">
            <v>LO 12Med</v>
          </cell>
          <cell r="D35">
            <v>0.14319153465074486</v>
          </cell>
          <cell r="E35">
            <v>0.23198513316745922</v>
          </cell>
          <cell r="F35">
            <v>0.34051064246566576</v>
          </cell>
          <cell r="G35">
            <v>0.45988870269369292</v>
          </cell>
          <cell r="H35">
            <v>0.57926676292172008</v>
          </cell>
          <cell r="I35">
            <v>0.68869665146407821</v>
          </cell>
          <cell r="J35">
            <v>0.78129117253838121</v>
          </cell>
          <cell r="K35">
            <v>0.85404401052533374</v>
          </cell>
          <cell r="L35">
            <v>0.90739609171576541</v>
          </cell>
          <cell r="M35">
            <v>0.94407564753418727</v>
          </cell>
          <cell r="N35">
            <v>0.96780947776963666</v>
          </cell>
          <cell r="O35">
            <v>0.98231348513574457</v>
          </cell>
          <cell r="P35">
            <v>0.99071054203191222</v>
          </cell>
          <cell r="Q35">
            <v>0.9953289233248046</v>
          </cell>
          <cell r="R35">
            <v>0.9977480754306054</v>
          </cell>
          <cell r="S35">
            <v>0.99895765148350579</v>
          </cell>
          <cell r="T35">
            <v>0.99953614437837124</v>
          </cell>
          <cell r="U35">
            <v>0.99980128695518455</v>
          </cell>
          <cell r="V35">
            <v>0.99991794968898218</v>
          </cell>
          <cell r="W35">
            <v>0.99996730699943515</v>
          </cell>
          <cell r="X35"/>
        </row>
        <row r="36">
          <cell r="B36" t="str">
            <v>Evaporative Assist Cooling-NR</v>
          </cell>
          <cell r="C36" t="str">
            <v>LO 12Med</v>
          </cell>
          <cell r="D36">
            <v>0.14319153465074486</v>
          </cell>
          <cell r="E36">
            <v>0.23198513316745922</v>
          </cell>
          <cell r="F36">
            <v>0.34051064246566576</v>
          </cell>
          <cell r="G36">
            <v>0.45988870269369292</v>
          </cell>
          <cell r="H36">
            <v>0.57926676292172008</v>
          </cell>
          <cell r="I36">
            <v>0.68869665146407821</v>
          </cell>
          <cell r="J36">
            <v>0.78129117253838121</v>
          </cell>
          <cell r="K36">
            <v>0.85404401052533374</v>
          </cell>
          <cell r="L36">
            <v>0.90739609171576541</v>
          </cell>
          <cell r="M36">
            <v>0.94407564753418727</v>
          </cell>
          <cell r="N36">
            <v>0.96780947776963666</v>
          </cell>
          <cell r="O36">
            <v>0.98231348513574457</v>
          </cell>
          <cell r="P36">
            <v>0.99071054203191222</v>
          </cell>
          <cell r="Q36">
            <v>0.9953289233248046</v>
          </cell>
          <cell r="R36">
            <v>0.9977480754306054</v>
          </cell>
          <cell r="S36">
            <v>0.99895765148350579</v>
          </cell>
          <cell r="T36">
            <v>0.99953614437837124</v>
          </cell>
          <cell r="U36">
            <v>0.99980128695518455</v>
          </cell>
          <cell r="V36">
            <v>0.99991794968898218</v>
          </cell>
          <cell r="W36">
            <v>0.99996730699943515</v>
          </cell>
          <cell r="X36"/>
        </row>
        <row r="37">
          <cell r="B37" t="str">
            <v>Low Pressure Distribution Complex HVAC-New</v>
          </cell>
          <cell r="C37" t="str">
            <v>LO 12Med</v>
          </cell>
          <cell r="D37">
            <v>0.14319153465074486</v>
          </cell>
          <cell r="E37">
            <v>0.23198513316745922</v>
          </cell>
          <cell r="F37">
            <v>0.34051064246566576</v>
          </cell>
          <cell r="G37">
            <v>0.45988870269369292</v>
          </cell>
          <cell r="H37">
            <v>0.57926676292172008</v>
          </cell>
          <cell r="I37">
            <v>0.68869665146407821</v>
          </cell>
          <cell r="J37">
            <v>0.78129117253838121</v>
          </cell>
          <cell r="K37">
            <v>0.85404401052533374</v>
          </cell>
          <cell r="L37">
            <v>0.90739609171576541</v>
          </cell>
          <cell r="M37">
            <v>0.94407564753418727</v>
          </cell>
          <cell r="N37">
            <v>0.96780947776963666</v>
          </cell>
          <cell r="O37">
            <v>0.98231348513574457</v>
          </cell>
          <cell r="P37">
            <v>0.99071054203191222</v>
          </cell>
          <cell r="Q37">
            <v>0.9953289233248046</v>
          </cell>
          <cell r="R37">
            <v>0.9977480754306054</v>
          </cell>
          <cell r="S37">
            <v>0.99895765148350579</v>
          </cell>
          <cell r="T37">
            <v>0.99953614437837124</v>
          </cell>
          <cell r="U37">
            <v>0.99980128695518455</v>
          </cell>
          <cell r="V37">
            <v>0.99991794968898218</v>
          </cell>
          <cell r="W37">
            <v>0.99996730699943515</v>
          </cell>
          <cell r="X37"/>
        </row>
        <row r="38">
          <cell r="B38" t="str">
            <v>Demand Control Ventilation-New</v>
          </cell>
          <cell r="C38" t="str">
            <v>LO 20Fast</v>
          </cell>
          <cell r="D38">
            <v>0.22119921692859512</v>
          </cell>
          <cell r="E38">
            <v>0.39346934028736658</v>
          </cell>
          <cell r="F38">
            <v>0.52763344725898531</v>
          </cell>
          <cell r="G38">
            <v>0.63212055882855767</v>
          </cell>
          <cell r="H38">
            <v>0.71349520313980985</v>
          </cell>
          <cell r="I38">
            <v>0.77686983985157021</v>
          </cell>
          <cell r="J38">
            <v>0.82622605654955483</v>
          </cell>
          <cell r="K38">
            <v>0.8646647167633873</v>
          </cell>
          <cell r="L38">
            <v>0.89460077543813565</v>
          </cell>
          <cell r="M38">
            <v>0.91791500137610116</v>
          </cell>
          <cell r="N38">
            <v>0.93607213879329243</v>
          </cell>
          <cell r="O38">
            <v>0.95021293163213605</v>
          </cell>
          <cell r="P38">
            <v>0.96122579216827797</v>
          </cell>
          <cell r="Q38">
            <v>0.96980261657768152</v>
          </cell>
          <cell r="R38">
            <v>0.97648225414399092</v>
          </cell>
          <cell r="S38">
            <v>0.98168436111126578</v>
          </cell>
          <cell r="T38">
            <v>0.98573576609100078</v>
          </cell>
          <cell r="U38">
            <v>0.98889100346175773</v>
          </cell>
          <cell r="V38">
            <v>0.99134830479687941</v>
          </cell>
          <cell r="W38">
            <v>0.99326205300091452</v>
          </cell>
          <cell r="X38"/>
        </row>
        <row r="39">
          <cell r="B39" t="str">
            <v>Demand Control Ventilation-NR</v>
          </cell>
          <cell r="C39" t="str">
            <v>LO 6Slow</v>
          </cell>
          <cell r="D39">
            <v>6.8006676335559124E-2</v>
          </cell>
          <cell r="E39">
            <v>0.10723118716323699</v>
          </cell>
          <cell r="F39">
            <v>0.16075403531961785</v>
          </cell>
          <cell r="G39">
            <v>0.23010433848725742</v>
          </cell>
          <cell r="H39">
            <v>0.31530886572260808</v>
          </cell>
          <cell r="I39">
            <v>0.41422820049939479</v>
          </cell>
          <cell r="J39">
            <v>0.52217378221316368</v>
          </cell>
          <cell r="K39">
            <v>0.63212055882855767</v>
          </cell>
          <cell r="L39">
            <v>0.73573838719247031</v>
          </cell>
          <cell r="M39">
            <v>0.82516407372252298</v>
          </cell>
          <cell r="N39">
            <v>0.89499508167340658</v>
          </cell>
          <cell r="O39">
            <v>0.94366375299868188</v>
          </cell>
          <cell r="P39">
            <v>0.97347543075920995</v>
          </cell>
          <cell r="Q39">
            <v>0.9892526107788493</v>
          </cell>
          <cell r="R39">
            <v>0.9963317715481067</v>
          </cell>
          <cell r="S39">
            <v>0.9989696877188875</v>
          </cell>
          <cell r="T39">
            <v>0.99976782261572095</v>
          </cell>
          <cell r="U39">
            <v>0.99995916135687979</v>
          </cell>
          <cell r="V39">
            <v>0.99999455709765817</v>
          </cell>
          <cell r="W39">
            <v>0.99999946762935688</v>
          </cell>
          <cell r="X39"/>
        </row>
        <row r="40">
          <cell r="B40" t="str">
            <v>Demand Control Ventilation-Retro</v>
          </cell>
          <cell r="C40" t="str">
            <v>Retro 20% Remain</v>
          </cell>
          <cell r="D40">
            <v>0.2</v>
          </cell>
          <cell r="E40">
            <v>0.16000000000000003</v>
          </cell>
          <cell r="F40">
            <v>0.12799999999999995</v>
          </cell>
          <cell r="G40">
            <v>0.10240000000000005</v>
          </cell>
          <cell r="H40">
            <v>8.1919999999999993E-2</v>
          </cell>
          <cell r="I40">
            <v>6.5536000000000039E-2</v>
          </cell>
          <cell r="J40">
            <v>5.2428799999999942E-2</v>
          </cell>
          <cell r="K40">
            <v>4.1943040000000043E-2</v>
          </cell>
          <cell r="L40">
            <v>3.3554431999999967E-2</v>
          </cell>
          <cell r="M40">
            <v>2.6843545600000018E-2</v>
          </cell>
          <cell r="N40">
            <v>2.1474836480000037E-2</v>
          </cell>
          <cell r="O40">
            <v>1.7179869183999941E-2</v>
          </cell>
          <cell r="P40">
            <v>1.3743895347199997E-2</v>
          </cell>
          <cell r="Q40">
            <v>1.0995116277759953E-2</v>
          </cell>
          <cell r="R40">
            <v>8.7960930222079625E-3</v>
          </cell>
          <cell r="S40">
            <v>7.0368744177664588E-3</v>
          </cell>
          <cell r="T40">
            <v>5.6294995342131005E-3</v>
          </cell>
          <cell r="U40">
            <v>4.5035996273704582E-3</v>
          </cell>
          <cell r="V40">
            <v>3.6028797018964331E-3</v>
          </cell>
          <cell r="W40">
            <v>2.8823037615171021E-3</v>
          </cell>
          <cell r="X40"/>
        </row>
        <row r="41">
          <cell r="B41" t="str">
            <v>Premium Fume Hood-New</v>
          </cell>
          <cell r="C41" t="str">
            <v>LO 20Fast</v>
          </cell>
          <cell r="D41">
            <v>0.22119921692859512</v>
          </cell>
          <cell r="E41">
            <v>0.39346934028736658</v>
          </cell>
          <cell r="F41">
            <v>0.52763344725898531</v>
          </cell>
          <cell r="G41">
            <v>0.63212055882855767</v>
          </cell>
          <cell r="H41">
            <v>0.71349520313980985</v>
          </cell>
          <cell r="I41">
            <v>0.77686983985157021</v>
          </cell>
          <cell r="J41">
            <v>0.82622605654955483</v>
          </cell>
          <cell r="K41">
            <v>0.8646647167633873</v>
          </cell>
          <cell r="L41">
            <v>0.89460077543813565</v>
          </cell>
          <cell r="M41">
            <v>0.91791500137610116</v>
          </cell>
          <cell r="N41">
            <v>0.93607213879329243</v>
          </cell>
          <cell r="O41">
            <v>0.95021293163213605</v>
          </cell>
          <cell r="P41">
            <v>0.96122579216827797</v>
          </cell>
          <cell r="Q41">
            <v>0.96980261657768152</v>
          </cell>
          <cell r="R41">
            <v>0.97648225414399092</v>
          </cell>
          <cell r="S41">
            <v>0.98168436111126578</v>
          </cell>
          <cell r="T41">
            <v>0.98573576609100078</v>
          </cell>
          <cell r="U41">
            <v>0.98889100346175773</v>
          </cell>
          <cell r="V41">
            <v>0.99134830479687941</v>
          </cell>
          <cell r="W41">
            <v>0.99326205300091452</v>
          </cell>
          <cell r="X41"/>
        </row>
        <row r="42">
          <cell r="B42" t="str">
            <v>DCV Restaurant Hood-Retro</v>
          </cell>
          <cell r="C42" t="str">
            <v>Retro 10% Remain</v>
          </cell>
          <cell r="D42">
            <v>0.1</v>
          </cell>
          <cell r="E42">
            <v>0.09</v>
          </cell>
          <cell r="F42">
            <v>8.1000000000000016E-2</v>
          </cell>
          <cell r="G42">
            <v>7.290000000000002E-2</v>
          </cell>
          <cell r="H42">
            <v>6.5610000000000002E-2</v>
          </cell>
          <cell r="I42">
            <v>5.9049000000000018E-2</v>
          </cell>
          <cell r="J42">
            <v>5.3144100000000027E-2</v>
          </cell>
          <cell r="K42">
            <v>4.7829690000000036E-2</v>
          </cell>
          <cell r="L42">
            <v>4.3046720999999954E-2</v>
          </cell>
          <cell r="M42">
            <v>3.8742048899999992E-2</v>
          </cell>
          <cell r="N42">
            <v>3.4867844009999982E-2</v>
          </cell>
          <cell r="O42">
            <v>3.1381059608999951E-2</v>
          </cell>
          <cell r="P42">
            <v>2.8242953648100033E-2</v>
          </cell>
          <cell r="Q42">
            <v>2.5418658283290041E-2</v>
          </cell>
          <cell r="R42">
            <v>2.2876792454960992E-2</v>
          </cell>
          <cell r="S42">
            <v>2.0589113209464882E-2</v>
          </cell>
          <cell r="T42">
            <v>1.8530201888518394E-2</v>
          </cell>
          <cell r="U42">
            <v>1.6677181699666588E-2</v>
          </cell>
          <cell r="V42">
            <v>1.5009463529699896E-2</v>
          </cell>
          <cell r="W42">
            <v>1.3508517176729962E-2</v>
          </cell>
          <cell r="X42"/>
        </row>
        <row r="43">
          <cell r="B43" t="str">
            <v>DCV Parking Garage-Retro</v>
          </cell>
          <cell r="C43" t="str">
            <v>Retro 10% Remain</v>
          </cell>
          <cell r="D43">
            <v>0.1</v>
          </cell>
          <cell r="E43">
            <v>0.09</v>
          </cell>
          <cell r="F43">
            <v>8.1000000000000016E-2</v>
          </cell>
          <cell r="G43">
            <v>7.290000000000002E-2</v>
          </cell>
          <cell r="H43">
            <v>6.5610000000000002E-2</v>
          </cell>
          <cell r="I43">
            <v>5.9049000000000018E-2</v>
          </cell>
          <cell r="J43">
            <v>5.3144100000000027E-2</v>
          </cell>
          <cell r="K43">
            <v>4.7829690000000036E-2</v>
          </cell>
          <cell r="L43">
            <v>4.3046720999999954E-2</v>
          </cell>
          <cell r="M43">
            <v>3.8742048899999992E-2</v>
          </cell>
          <cell r="N43">
            <v>3.4867844009999982E-2</v>
          </cell>
          <cell r="O43">
            <v>3.1381059608999951E-2</v>
          </cell>
          <cell r="P43">
            <v>2.8242953648100033E-2</v>
          </cell>
          <cell r="Q43">
            <v>2.5418658283290041E-2</v>
          </cell>
          <cell r="R43">
            <v>2.2876792454960992E-2</v>
          </cell>
          <cell r="S43">
            <v>2.0589113209464882E-2</v>
          </cell>
          <cell r="T43">
            <v>1.8530201888518394E-2</v>
          </cell>
          <cell r="U43">
            <v>1.6677181699666588E-2</v>
          </cell>
          <cell r="V43">
            <v>1.5009463529699896E-2</v>
          </cell>
          <cell r="W43">
            <v>1.3508517176729962E-2</v>
          </cell>
          <cell r="X43"/>
        </row>
        <row r="44">
          <cell r="B44" t="str">
            <v>Weatherization - School-Retro</v>
          </cell>
          <cell r="C44" t="str">
            <v>Retro 20% Remain</v>
          </cell>
          <cell r="D44">
            <v>0.2</v>
          </cell>
          <cell r="E44">
            <v>0.16000000000000003</v>
          </cell>
          <cell r="F44">
            <v>0.12799999999999995</v>
          </cell>
          <cell r="G44">
            <v>0.10240000000000005</v>
          </cell>
          <cell r="H44">
            <v>8.1919999999999993E-2</v>
          </cell>
          <cell r="I44">
            <v>6.5536000000000039E-2</v>
          </cell>
          <cell r="J44">
            <v>5.2428799999999942E-2</v>
          </cell>
          <cell r="K44">
            <v>4.1943040000000043E-2</v>
          </cell>
          <cell r="L44">
            <v>3.3554431999999967E-2</v>
          </cell>
          <cell r="M44">
            <v>2.6843545600000018E-2</v>
          </cell>
          <cell r="N44">
            <v>2.1474836480000037E-2</v>
          </cell>
          <cell r="O44">
            <v>1.7179869183999941E-2</v>
          </cell>
          <cell r="P44">
            <v>1.3743895347199997E-2</v>
          </cell>
          <cell r="Q44">
            <v>1.0995116277759953E-2</v>
          </cell>
          <cell r="R44">
            <v>8.7960930222079625E-3</v>
          </cell>
          <cell r="S44">
            <v>7.0368744177664588E-3</v>
          </cell>
          <cell r="T44">
            <v>5.6294995342131005E-3</v>
          </cell>
          <cell r="U44">
            <v>4.5035996273704582E-3</v>
          </cell>
          <cell r="V44">
            <v>3.6028797018964331E-3</v>
          </cell>
          <cell r="W44">
            <v>2.8823037615171021E-3</v>
          </cell>
          <cell r="X44"/>
        </row>
        <row r="45">
          <cell r="B45" t="str">
            <v>Energy Recovery Ventilator-NR</v>
          </cell>
          <cell r="C45" t="str">
            <v>LO 12Med</v>
          </cell>
          <cell r="D45">
            <v>0.14319153465074486</v>
          </cell>
          <cell r="E45">
            <v>0.23198513316745922</v>
          </cell>
          <cell r="F45">
            <v>0.34051064246566576</v>
          </cell>
          <cell r="G45">
            <v>0.45988870269369292</v>
          </cell>
          <cell r="H45">
            <v>0.57926676292172008</v>
          </cell>
          <cell r="I45">
            <v>0.68869665146407821</v>
          </cell>
          <cell r="J45">
            <v>0.78129117253838121</v>
          </cell>
          <cell r="K45">
            <v>0.85404401052533374</v>
          </cell>
          <cell r="L45">
            <v>0.90739609171576541</v>
          </cell>
          <cell r="M45">
            <v>0.94407564753418727</v>
          </cell>
          <cell r="N45">
            <v>0.96780947776963666</v>
          </cell>
          <cell r="O45">
            <v>0.98231348513574457</v>
          </cell>
          <cell r="P45">
            <v>0.99071054203191222</v>
          </cell>
          <cell r="Q45">
            <v>0.9953289233248046</v>
          </cell>
          <cell r="R45">
            <v>0.9977480754306054</v>
          </cell>
          <cell r="S45">
            <v>0.99895765148350579</v>
          </cell>
          <cell r="T45">
            <v>0.99953614437837124</v>
          </cell>
          <cell r="U45">
            <v>0.99980128695518455</v>
          </cell>
          <cell r="V45">
            <v>0.99991794968898218</v>
          </cell>
          <cell r="W45">
            <v>0.99996730699943515</v>
          </cell>
          <cell r="X45"/>
        </row>
        <row r="46">
          <cell r="B46" t="str">
            <v>AC Heat Recovery for Water Heating-NR</v>
          </cell>
          <cell r="C46" t="str">
            <v>LO 6Slow</v>
          </cell>
          <cell r="D46">
            <v>6.8006676335559124E-2</v>
          </cell>
          <cell r="E46">
            <v>0.10723118716323699</v>
          </cell>
          <cell r="F46">
            <v>0.16075403531961785</v>
          </cell>
          <cell r="G46">
            <v>0.23010433848725742</v>
          </cell>
          <cell r="H46">
            <v>0.31530886572260808</v>
          </cell>
          <cell r="I46">
            <v>0.41422820049939479</v>
          </cell>
          <cell r="J46">
            <v>0.52217378221316368</v>
          </cell>
          <cell r="K46">
            <v>0.63212055882855767</v>
          </cell>
          <cell r="L46">
            <v>0.73573838719247031</v>
          </cell>
          <cell r="M46">
            <v>0.82516407372252298</v>
          </cell>
          <cell r="N46">
            <v>0.89499508167340658</v>
          </cell>
          <cell r="O46">
            <v>0.94366375299868188</v>
          </cell>
          <cell r="P46">
            <v>0.97347543075920995</v>
          </cell>
          <cell r="Q46">
            <v>0.9892526107788493</v>
          </cell>
          <cell r="R46">
            <v>0.9963317715481067</v>
          </cell>
          <cell r="S46">
            <v>0.9989696877188875</v>
          </cell>
          <cell r="T46">
            <v>0.99976782261572095</v>
          </cell>
          <cell r="U46">
            <v>0.99995916135687979</v>
          </cell>
          <cell r="V46">
            <v>0.99999455709765817</v>
          </cell>
          <cell r="W46">
            <v>0.99999946762935688</v>
          </cell>
          <cell r="X46"/>
        </row>
        <row r="47">
          <cell r="B47" t="str">
            <v>Room Occupancy Sensors in Lodging-Retro</v>
          </cell>
          <cell r="C47" t="str">
            <v>LO 6Slow</v>
          </cell>
          <cell r="D47">
            <v>6.8006676335559124E-2</v>
          </cell>
          <cell r="E47">
            <v>0.10723118716323699</v>
          </cell>
          <cell r="F47">
            <v>0.16075403531961785</v>
          </cell>
          <cell r="G47">
            <v>0.23010433848725742</v>
          </cell>
          <cell r="H47">
            <v>0.31530886572260808</v>
          </cell>
          <cell r="I47">
            <v>0.41422820049939479</v>
          </cell>
          <cell r="J47">
            <v>0.52217378221316368</v>
          </cell>
          <cell r="K47">
            <v>0.63212055882855767</v>
          </cell>
          <cell r="L47">
            <v>0.73573838719247031</v>
          </cell>
          <cell r="M47">
            <v>0.82516407372252298</v>
          </cell>
          <cell r="N47">
            <v>0.89499508167340658</v>
          </cell>
          <cell r="O47">
            <v>0.94366375299868188</v>
          </cell>
          <cell r="P47">
            <v>0.97347543075920995</v>
          </cell>
          <cell r="Q47">
            <v>0.9892526107788493</v>
          </cell>
          <cell r="R47">
            <v>0.9963317715481067</v>
          </cell>
          <cell r="S47">
            <v>0.9989696877188875</v>
          </cell>
          <cell r="T47">
            <v>0.99976782261572095</v>
          </cell>
          <cell r="U47">
            <v>0.99995916135687979</v>
          </cell>
          <cell r="V47">
            <v>0.99999455709765817</v>
          </cell>
          <cell r="W47">
            <v>0.99999946762935688</v>
          </cell>
          <cell r="X47"/>
        </row>
        <row r="48">
          <cell r="B48" t="str">
            <v>Chiller - chilled water retrofit-Retro</v>
          </cell>
          <cell r="C48" t="str">
            <v>Retro 20% Remain</v>
          </cell>
          <cell r="D48">
            <v>0.2</v>
          </cell>
          <cell r="E48">
            <v>0.16000000000000003</v>
          </cell>
          <cell r="F48">
            <v>0.12799999999999995</v>
          </cell>
          <cell r="G48">
            <v>0.10240000000000005</v>
          </cell>
          <cell r="H48">
            <v>8.1919999999999993E-2</v>
          </cell>
          <cell r="I48">
            <v>6.5536000000000039E-2</v>
          </cell>
          <cell r="J48">
            <v>5.2428799999999942E-2</v>
          </cell>
          <cell r="K48">
            <v>4.1943040000000043E-2</v>
          </cell>
          <cell r="L48">
            <v>3.3554431999999967E-2</v>
          </cell>
          <cell r="M48">
            <v>2.6843545600000018E-2</v>
          </cell>
          <cell r="N48">
            <v>2.1474836480000037E-2</v>
          </cell>
          <cell r="O48">
            <v>1.7179869183999941E-2</v>
          </cell>
          <cell r="P48">
            <v>1.3743895347199997E-2</v>
          </cell>
          <cell r="Q48">
            <v>1.0995116277759953E-2</v>
          </cell>
          <cell r="R48">
            <v>8.7960930222079625E-3</v>
          </cell>
          <cell r="S48">
            <v>7.0368744177664588E-3</v>
          </cell>
          <cell r="T48">
            <v>5.6294995342131005E-3</v>
          </cell>
          <cell r="U48">
            <v>4.5035996273704582E-3</v>
          </cell>
          <cell r="V48">
            <v>3.6028797018964331E-3</v>
          </cell>
          <cell r="W48">
            <v>2.8823037615171021E-3</v>
          </cell>
          <cell r="X48"/>
        </row>
        <row r="49">
          <cell r="B49" t="str">
            <v>Chiller - equip retrofits-Retro</v>
          </cell>
          <cell r="C49" t="str">
            <v>Retro 20% Remain</v>
          </cell>
          <cell r="D49">
            <v>0.2</v>
          </cell>
          <cell r="E49">
            <v>0.16000000000000003</v>
          </cell>
          <cell r="F49">
            <v>0.12799999999999995</v>
          </cell>
          <cell r="G49">
            <v>0.10240000000000005</v>
          </cell>
          <cell r="H49">
            <v>8.1919999999999993E-2</v>
          </cell>
          <cell r="I49">
            <v>6.5536000000000039E-2</v>
          </cell>
          <cell r="J49">
            <v>5.2428799999999942E-2</v>
          </cell>
          <cell r="K49">
            <v>4.1943040000000043E-2</v>
          </cell>
          <cell r="L49">
            <v>3.3554431999999967E-2</v>
          </cell>
          <cell r="M49">
            <v>2.6843545600000018E-2</v>
          </cell>
          <cell r="N49">
            <v>2.1474836480000037E-2</v>
          </cell>
          <cell r="O49">
            <v>1.7179869183999941E-2</v>
          </cell>
          <cell r="P49">
            <v>1.3743895347199997E-2</v>
          </cell>
          <cell r="Q49">
            <v>1.0995116277759953E-2</v>
          </cell>
          <cell r="R49">
            <v>8.7960930222079625E-3</v>
          </cell>
          <cell r="S49">
            <v>7.0368744177664588E-3</v>
          </cell>
          <cell r="T49">
            <v>5.6294995342131005E-3</v>
          </cell>
          <cell r="U49">
            <v>4.5035996273704582E-3</v>
          </cell>
          <cell r="V49">
            <v>3.6028797018964331E-3</v>
          </cell>
          <cell r="W49">
            <v>2.8823037615171021E-3</v>
          </cell>
          <cell r="X49"/>
        </row>
        <row r="50">
          <cell r="B50" t="str">
            <v>Pool Blankets-Retro</v>
          </cell>
          <cell r="C50" t="str">
            <v>Retro 20% Remain</v>
          </cell>
          <cell r="D50">
            <v>0.2</v>
          </cell>
          <cell r="E50">
            <v>0.16000000000000003</v>
          </cell>
          <cell r="F50">
            <v>0.12799999999999995</v>
          </cell>
          <cell r="G50">
            <v>0.10240000000000005</v>
          </cell>
          <cell r="H50">
            <v>8.1919999999999993E-2</v>
          </cell>
          <cell r="I50">
            <v>6.5536000000000039E-2</v>
          </cell>
          <cell r="J50">
            <v>5.2428799999999942E-2</v>
          </cell>
          <cell r="K50">
            <v>4.1943040000000043E-2</v>
          </cell>
          <cell r="L50">
            <v>3.3554431999999967E-2</v>
          </cell>
          <cell r="M50">
            <v>2.6843545600000018E-2</v>
          </cell>
          <cell r="N50">
            <v>2.1474836480000037E-2</v>
          </cell>
          <cell r="O50">
            <v>1.7179869183999941E-2</v>
          </cell>
          <cell r="P50">
            <v>1.3743895347199997E-2</v>
          </cell>
          <cell r="Q50">
            <v>1.0995116277759953E-2</v>
          </cell>
          <cell r="R50">
            <v>8.7960930222079625E-3</v>
          </cell>
          <cell r="S50">
            <v>7.0368744177664588E-3</v>
          </cell>
          <cell r="T50">
            <v>5.6294995342131005E-3</v>
          </cell>
          <cell r="U50">
            <v>4.5035996273704582E-3</v>
          </cell>
          <cell r="V50">
            <v>3.6028797018964331E-3</v>
          </cell>
          <cell r="W50">
            <v>2.8823037615171021E-3</v>
          </cell>
          <cell r="X50"/>
        </row>
        <row r="51">
          <cell r="B51" t="str">
            <v>Web-Enabled Thermostats-Retro</v>
          </cell>
          <cell r="C51" t="str">
            <v>Retro 20% Remain</v>
          </cell>
          <cell r="D51">
            <v>0.2</v>
          </cell>
          <cell r="E51">
            <v>0.16000000000000003</v>
          </cell>
          <cell r="F51">
            <v>0.12799999999999995</v>
          </cell>
          <cell r="G51">
            <v>0.10240000000000005</v>
          </cell>
          <cell r="H51">
            <v>8.1919999999999993E-2</v>
          </cell>
          <cell r="I51">
            <v>6.5536000000000039E-2</v>
          </cell>
          <cell r="J51">
            <v>5.2428799999999942E-2</v>
          </cell>
          <cell r="K51">
            <v>4.1943040000000043E-2</v>
          </cell>
          <cell r="L51">
            <v>3.3554431999999967E-2</v>
          </cell>
          <cell r="M51">
            <v>2.6843545600000018E-2</v>
          </cell>
          <cell r="N51">
            <v>2.1474836480000037E-2</v>
          </cell>
          <cell r="O51">
            <v>1.7179869183999941E-2</v>
          </cell>
          <cell r="P51">
            <v>1.3743895347199997E-2</v>
          </cell>
          <cell r="Q51">
            <v>1.0995116277759953E-2</v>
          </cell>
          <cell r="R51">
            <v>8.7960930222079625E-3</v>
          </cell>
          <cell r="S51">
            <v>7.0368744177664588E-3</v>
          </cell>
          <cell r="T51">
            <v>5.6294995342131005E-3</v>
          </cell>
          <cell r="U51">
            <v>4.5035996273704582E-3</v>
          </cell>
          <cell r="V51">
            <v>3.6028797018964331E-3</v>
          </cell>
          <cell r="W51">
            <v>2.8823037615171021E-3</v>
          </cell>
          <cell r="X51"/>
        </row>
        <row r="52">
          <cell r="B52" t="str">
            <v>Garage CO2 ventilation-Retro</v>
          </cell>
          <cell r="C52" t="str">
            <v>Retro 20% Remain</v>
          </cell>
          <cell r="D52">
            <v>0.2</v>
          </cell>
          <cell r="E52">
            <v>0.16000000000000003</v>
          </cell>
          <cell r="F52">
            <v>0.12799999999999995</v>
          </cell>
          <cell r="G52">
            <v>0.10240000000000005</v>
          </cell>
          <cell r="H52">
            <v>8.1919999999999993E-2</v>
          </cell>
          <cell r="I52">
            <v>6.5536000000000039E-2</v>
          </cell>
          <cell r="J52">
            <v>5.2428799999999942E-2</v>
          </cell>
          <cell r="K52">
            <v>4.1943040000000043E-2</v>
          </cell>
          <cell r="L52">
            <v>3.3554431999999967E-2</v>
          </cell>
          <cell r="M52">
            <v>2.6843545600000018E-2</v>
          </cell>
          <cell r="N52">
            <v>2.1474836480000037E-2</v>
          </cell>
          <cell r="O52">
            <v>1.7179869183999941E-2</v>
          </cell>
          <cell r="P52">
            <v>1.3743895347199997E-2</v>
          </cell>
          <cell r="Q52">
            <v>1.0995116277759953E-2</v>
          </cell>
          <cell r="R52">
            <v>8.7960930222079625E-3</v>
          </cell>
          <cell r="S52">
            <v>7.0368744177664588E-3</v>
          </cell>
          <cell r="T52">
            <v>5.6294995342131005E-3</v>
          </cell>
          <cell r="U52">
            <v>4.5035996273704582E-3</v>
          </cell>
          <cell r="V52">
            <v>3.6028797018964331E-3</v>
          </cell>
          <cell r="W52">
            <v>2.8823037615171021E-3</v>
          </cell>
          <cell r="X52"/>
        </row>
        <row r="53">
          <cell r="B53" t="str">
            <v>Circ Pump ECM and drive-Retro</v>
          </cell>
          <cell r="C53" t="str">
            <v>Retro 20% Remain</v>
          </cell>
          <cell r="D53">
            <v>0.2</v>
          </cell>
          <cell r="E53">
            <v>0.16000000000000003</v>
          </cell>
          <cell r="F53">
            <v>0.12799999999999995</v>
          </cell>
          <cell r="G53">
            <v>0.10240000000000005</v>
          </cell>
          <cell r="H53">
            <v>8.1919999999999993E-2</v>
          </cell>
          <cell r="I53">
            <v>6.5536000000000039E-2</v>
          </cell>
          <cell r="J53">
            <v>5.2428799999999942E-2</v>
          </cell>
          <cell r="K53">
            <v>4.1943040000000043E-2</v>
          </cell>
          <cell r="L53">
            <v>3.3554431999999967E-2</v>
          </cell>
          <cell r="M53">
            <v>2.6843545600000018E-2</v>
          </cell>
          <cell r="N53">
            <v>2.1474836480000037E-2</v>
          </cell>
          <cell r="O53">
            <v>1.7179869183999941E-2</v>
          </cell>
          <cell r="P53">
            <v>1.3743895347199997E-2</v>
          </cell>
          <cell r="Q53">
            <v>1.0995116277759953E-2</v>
          </cell>
          <cell r="R53">
            <v>8.7960930222079625E-3</v>
          </cell>
          <cell r="S53">
            <v>7.0368744177664588E-3</v>
          </cell>
          <cell r="T53">
            <v>5.6294995342131005E-3</v>
          </cell>
          <cell r="U53">
            <v>4.5035996273704582E-3</v>
          </cell>
          <cell r="V53">
            <v>3.6028797018964331E-3</v>
          </cell>
          <cell r="W53">
            <v>2.8823037615171021E-3</v>
          </cell>
          <cell r="X53"/>
        </row>
        <row r="54">
          <cell r="B54" t="str">
            <v>Variable Capacity Heat Pump-Retro</v>
          </cell>
          <cell r="C54" t="str">
            <v>Retro 20% Remain</v>
          </cell>
          <cell r="D54">
            <v>0.2</v>
          </cell>
          <cell r="E54">
            <v>0.16000000000000003</v>
          </cell>
          <cell r="F54">
            <v>0.12799999999999995</v>
          </cell>
          <cell r="G54">
            <v>0.10240000000000005</v>
          </cell>
          <cell r="H54">
            <v>8.1919999999999993E-2</v>
          </cell>
          <cell r="I54">
            <v>6.5536000000000039E-2</v>
          </cell>
          <cell r="J54">
            <v>5.2428799999999942E-2</v>
          </cell>
          <cell r="K54">
            <v>4.1943040000000043E-2</v>
          </cell>
          <cell r="L54">
            <v>3.3554431999999967E-2</v>
          </cell>
          <cell r="M54">
            <v>2.6843545600000018E-2</v>
          </cell>
          <cell r="N54">
            <v>2.1474836480000037E-2</v>
          </cell>
          <cell r="O54">
            <v>1.7179869183999941E-2</v>
          </cell>
          <cell r="P54">
            <v>1.3743895347199997E-2</v>
          </cell>
          <cell r="Q54">
            <v>1.0995116277759953E-2</v>
          </cell>
          <cell r="R54">
            <v>8.7960930222079625E-3</v>
          </cell>
          <cell r="S54">
            <v>7.0368744177664588E-3</v>
          </cell>
          <cell r="T54">
            <v>5.6294995342131005E-3</v>
          </cell>
          <cell r="U54">
            <v>4.5035996273704582E-3</v>
          </cell>
          <cell r="V54">
            <v>3.6028797018964331E-3</v>
          </cell>
          <cell r="W54">
            <v>2.8823037615171021E-3</v>
          </cell>
          <cell r="X54"/>
        </row>
        <row r="55">
          <cell r="B55" t="str">
            <v>Cool Roofs-Retro</v>
          </cell>
          <cell r="C55" t="str">
            <v>Retro 20% Remain</v>
          </cell>
          <cell r="D55">
            <v>0.2</v>
          </cell>
          <cell r="E55">
            <v>0.16000000000000003</v>
          </cell>
          <cell r="F55">
            <v>0.12799999999999995</v>
          </cell>
          <cell r="G55">
            <v>0.10240000000000005</v>
          </cell>
          <cell r="H55">
            <v>8.1919999999999993E-2</v>
          </cell>
          <cell r="I55">
            <v>6.5536000000000039E-2</v>
          </cell>
          <cell r="J55">
            <v>5.2428799999999942E-2</v>
          </cell>
          <cell r="K55">
            <v>4.1943040000000043E-2</v>
          </cell>
          <cell r="L55">
            <v>3.3554431999999967E-2</v>
          </cell>
          <cell r="M55">
            <v>2.6843545600000018E-2</v>
          </cell>
          <cell r="N55">
            <v>2.1474836480000037E-2</v>
          </cell>
          <cell r="O55">
            <v>1.7179869183999941E-2</v>
          </cell>
          <cell r="P55">
            <v>1.3743895347199997E-2</v>
          </cell>
          <cell r="Q55">
            <v>1.0995116277759953E-2</v>
          </cell>
          <cell r="R55">
            <v>8.7960930222079625E-3</v>
          </cell>
          <cell r="S55">
            <v>7.0368744177664588E-3</v>
          </cell>
          <cell r="T55">
            <v>5.6294995342131005E-3</v>
          </cell>
          <cell r="U55">
            <v>4.5035996273704582E-3</v>
          </cell>
          <cell r="V55">
            <v>3.6028797018964331E-3</v>
          </cell>
          <cell r="W55">
            <v>2.8823037615171021E-3</v>
          </cell>
          <cell r="X55"/>
        </row>
        <row r="56">
          <cell r="B56" t="str">
            <v>Evaporator Roof Top HVAC-Retro</v>
          </cell>
          <cell r="C56" t="str">
            <v>Retro 20% Remain</v>
          </cell>
          <cell r="D56">
            <v>0.2</v>
          </cell>
          <cell r="E56">
            <v>0.16000000000000003</v>
          </cell>
          <cell r="F56">
            <v>0.12799999999999995</v>
          </cell>
          <cell r="G56">
            <v>0.10240000000000005</v>
          </cell>
          <cell r="H56">
            <v>8.1919999999999993E-2</v>
          </cell>
          <cell r="I56">
            <v>6.5536000000000039E-2</v>
          </cell>
          <cell r="J56">
            <v>5.2428799999999942E-2</v>
          </cell>
          <cell r="K56">
            <v>4.1943040000000043E-2</v>
          </cell>
          <cell r="L56">
            <v>3.3554431999999967E-2</v>
          </cell>
          <cell r="M56">
            <v>2.6843545600000018E-2</v>
          </cell>
          <cell r="N56">
            <v>2.1474836480000037E-2</v>
          </cell>
          <cell r="O56">
            <v>1.7179869183999941E-2</v>
          </cell>
          <cell r="P56">
            <v>1.3743895347199997E-2</v>
          </cell>
          <cell r="Q56">
            <v>1.0995116277759953E-2</v>
          </cell>
          <cell r="R56">
            <v>8.7960930222079625E-3</v>
          </cell>
          <cell r="S56">
            <v>7.0368744177664588E-3</v>
          </cell>
          <cell r="T56">
            <v>5.6294995342131005E-3</v>
          </cell>
          <cell r="U56">
            <v>4.5035996273704582E-3</v>
          </cell>
          <cell r="V56">
            <v>3.6028797018964331E-3</v>
          </cell>
          <cell r="W56">
            <v>2.8823037615171021E-3</v>
          </cell>
          <cell r="X56"/>
        </row>
        <row r="57">
          <cell r="B57" t="str">
            <v>Secondary Glazing Systems-Retro</v>
          </cell>
          <cell r="C57" t="str">
            <v>Retro 20% Remain</v>
          </cell>
          <cell r="D57">
            <v>0.2</v>
          </cell>
          <cell r="E57">
            <v>0.16000000000000003</v>
          </cell>
          <cell r="F57">
            <v>0.12799999999999995</v>
          </cell>
          <cell r="G57">
            <v>0.10240000000000005</v>
          </cell>
          <cell r="H57">
            <v>8.1919999999999993E-2</v>
          </cell>
          <cell r="I57">
            <v>6.5536000000000039E-2</v>
          </cell>
          <cell r="J57">
            <v>5.2428799999999942E-2</v>
          </cell>
          <cell r="K57">
            <v>4.1943040000000043E-2</v>
          </cell>
          <cell r="L57">
            <v>3.3554431999999967E-2</v>
          </cell>
          <cell r="M57">
            <v>2.6843545600000018E-2</v>
          </cell>
          <cell r="N57">
            <v>2.1474836480000037E-2</v>
          </cell>
          <cell r="O57">
            <v>1.7179869183999941E-2</v>
          </cell>
          <cell r="P57">
            <v>1.3743895347199997E-2</v>
          </cell>
          <cell r="Q57">
            <v>1.0995116277759953E-2</v>
          </cell>
          <cell r="R57">
            <v>8.7960930222079625E-3</v>
          </cell>
          <cell r="S57">
            <v>7.0368744177664588E-3</v>
          </cell>
          <cell r="T57">
            <v>5.6294995342131005E-3</v>
          </cell>
          <cell r="U57">
            <v>4.5035996273704582E-3</v>
          </cell>
          <cell r="V57">
            <v>3.6028797018964331E-3</v>
          </cell>
          <cell r="W57">
            <v>2.8823037615171021E-3</v>
          </cell>
          <cell r="X57"/>
        </row>
        <row r="58">
          <cell r="B58" t="str">
            <v>LPD Package-New</v>
          </cell>
          <cell r="C58" t="str">
            <v>LO 20Fast</v>
          </cell>
          <cell r="D58">
            <v>0.22119921692859512</v>
          </cell>
          <cell r="E58">
            <v>0.39346934028736658</v>
          </cell>
          <cell r="F58">
            <v>0.52763344725898531</v>
          </cell>
          <cell r="G58">
            <v>0.63212055882855767</v>
          </cell>
          <cell r="H58">
            <v>0.71349520313980985</v>
          </cell>
          <cell r="I58">
            <v>0.77686983985157021</v>
          </cell>
          <cell r="J58">
            <v>0.82622605654955483</v>
          </cell>
          <cell r="K58">
            <v>0.8646647167633873</v>
          </cell>
          <cell r="L58">
            <v>0.89460077543813565</v>
          </cell>
          <cell r="M58">
            <v>0.91791500137610116</v>
          </cell>
          <cell r="N58">
            <v>0.93607213879329243</v>
          </cell>
          <cell r="O58">
            <v>0.95021293163213605</v>
          </cell>
          <cell r="P58">
            <v>0.96122579216827797</v>
          </cell>
          <cell r="Q58">
            <v>0.96980261657768152</v>
          </cell>
          <cell r="R58">
            <v>0.97648225414399092</v>
          </cell>
          <cell r="S58">
            <v>0.98168436111126578</v>
          </cell>
          <cell r="T58">
            <v>0.98573576609100078</v>
          </cell>
          <cell r="U58">
            <v>0.98889100346175773</v>
          </cell>
          <cell r="V58">
            <v>0.99134830479687941</v>
          </cell>
          <cell r="W58">
            <v>0.99326205300091452</v>
          </cell>
          <cell r="X58"/>
        </row>
        <row r="59">
          <cell r="B59" t="str">
            <v>LPD Package-NR</v>
          </cell>
          <cell r="C59" t="str">
            <v>LO 20Fast</v>
          </cell>
          <cell r="D59">
            <v>0.22119921692859512</v>
          </cell>
          <cell r="E59">
            <v>0.39346934028736658</v>
          </cell>
          <cell r="F59">
            <v>0.52763344725898531</v>
          </cell>
          <cell r="G59">
            <v>0.63212055882855767</v>
          </cell>
          <cell r="H59">
            <v>0.71349520313980985</v>
          </cell>
          <cell r="I59">
            <v>0.77686983985157021</v>
          </cell>
          <cell r="J59">
            <v>0.82622605654955483</v>
          </cell>
          <cell r="K59">
            <v>0.8646647167633873</v>
          </cell>
          <cell r="L59">
            <v>0.89460077543813565</v>
          </cell>
          <cell r="M59">
            <v>0.91791500137610116</v>
          </cell>
          <cell r="N59">
            <v>0.93607213879329243</v>
          </cell>
          <cell r="O59">
            <v>0.95021293163213605</v>
          </cell>
          <cell r="P59">
            <v>0.96122579216827797</v>
          </cell>
          <cell r="Q59">
            <v>0.96980261657768152</v>
          </cell>
          <cell r="R59">
            <v>0.97648225414399092</v>
          </cell>
          <cell r="S59">
            <v>0.98168436111126578</v>
          </cell>
          <cell r="T59">
            <v>0.98573576609100078</v>
          </cell>
          <cell r="U59">
            <v>0.98889100346175773</v>
          </cell>
          <cell r="V59">
            <v>0.99134830479687941</v>
          </cell>
          <cell r="W59">
            <v>0.99326205300091452</v>
          </cell>
          <cell r="X59"/>
        </row>
        <row r="60">
          <cell r="B60" t="str">
            <v>LPD Package-Retro</v>
          </cell>
          <cell r="C60" t="str">
            <v>Retro 10% Remain</v>
          </cell>
          <cell r="D60">
            <v>0.1</v>
          </cell>
          <cell r="E60">
            <v>0.09</v>
          </cell>
          <cell r="F60">
            <v>8.1000000000000016E-2</v>
          </cell>
          <cell r="G60">
            <v>7.290000000000002E-2</v>
          </cell>
          <cell r="H60">
            <v>6.5610000000000002E-2</v>
          </cell>
          <cell r="I60">
            <v>5.9049000000000018E-2</v>
          </cell>
          <cell r="J60">
            <v>5.3144100000000027E-2</v>
          </cell>
          <cell r="K60">
            <v>4.7829690000000036E-2</v>
          </cell>
          <cell r="L60">
            <v>4.3046720999999954E-2</v>
          </cell>
          <cell r="M60">
            <v>3.8742048899999992E-2</v>
          </cell>
          <cell r="N60">
            <v>3.4867844009999982E-2</v>
          </cell>
          <cell r="O60">
            <v>3.1381059608999951E-2</v>
          </cell>
          <cell r="P60">
            <v>2.8242953648100033E-2</v>
          </cell>
          <cell r="Q60">
            <v>2.5418658283290041E-2</v>
          </cell>
          <cell r="R60">
            <v>2.2876792454960992E-2</v>
          </cell>
          <cell r="S60">
            <v>2.0589113209464882E-2</v>
          </cell>
          <cell r="T60">
            <v>1.8530201888518394E-2</v>
          </cell>
          <cell r="U60">
            <v>1.6677181699666588E-2</v>
          </cell>
          <cell r="V60">
            <v>1.5009463529699896E-2</v>
          </cell>
          <cell r="W60">
            <v>1.3508517176729962E-2</v>
          </cell>
          <cell r="X60"/>
        </row>
        <row r="61">
          <cell r="B61" t="str">
            <v>Top Daylighting-New</v>
          </cell>
          <cell r="C61" t="str">
            <v>LO 12Med</v>
          </cell>
          <cell r="D61">
            <v>0.14319153465074486</v>
          </cell>
          <cell r="E61">
            <v>0.23198513316745922</v>
          </cell>
          <cell r="F61">
            <v>0.34051064246566576</v>
          </cell>
          <cell r="G61">
            <v>0.45988870269369292</v>
          </cell>
          <cell r="H61">
            <v>0.57926676292172008</v>
          </cell>
          <cell r="I61">
            <v>0.68869665146407821</v>
          </cell>
          <cell r="J61">
            <v>0.78129117253838121</v>
          </cell>
          <cell r="K61">
            <v>0.85404401052533374</v>
          </cell>
          <cell r="L61">
            <v>0.90739609171576541</v>
          </cell>
          <cell r="M61">
            <v>0.94407564753418727</v>
          </cell>
          <cell r="N61">
            <v>0.96780947776963666</v>
          </cell>
          <cell r="O61">
            <v>0.98231348513574457</v>
          </cell>
          <cell r="P61">
            <v>0.99071054203191222</v>
          </cell>
          <cell r="Q61">
            <v>0.9953289233248046</v>
          </cell>
          <cell r="R61">
            <v>0.9977480754306054</v>
          </cell>
          <cell r="S61">
            <v>0.99895765148350579</v>
          </cell>
          <cell r="T61">
            <v>0.99953614437837124</v>
          </cell>
          <cell r="U61">
            <v>0.99980128695518455</v>
          </cell>
          <cell r="V61">
            <v>0.99991794968898218</v>
          </cell>
          <cell r="W61">
            <v>0.99996730699943515</v>
          </cell>
          <cell r="X61"/>
        </row>
        <row r="62">
          <cell r="B62" t="str">
            <v>Perimeter Daylighting Controls Advanced-New</v>
          </cell>
          <cell r="C62" t="str">
            <v>LO 20Fast</v>
          </cell>
          <cell r="D62">
            <v>0.22119921692859512</v>
          </cell>
          <cell r="E62">
            <v>0.39346934028736658</v>
          </cell>
          <cell r="F62">
            <v>0.52763344725898531</v>
          </cell>
          <cell r="G62">
            <v>0.63212055882855767</v>
          </cell>
          <cell r="H62">
            <v>0.71349520313980985</v>
          </cell>
          <cell r="I62">
            <v>0.77686983985157021</v>
          </cell>
          <cell r="J62">
            <v>0.82622605654955483</v>
          </cell>
          <cell r="K62">
            <v>0.8646647167633873</v>
          </cell>
          <cell r="L62">
            <v>0.89460077543813565</v>
          </cell>
          <cell r="M62">
            <v>0.91791500137610116</v>
          </cell>
          <cell r="N62">
            <v>0.93607213879329243</v>
          </cell>
          <cell r="O62">
            <v>0.95021293163213605</v>
          </cell>
          <cell r="P62">
            <v>0.96122579216827797</v>
          </cell>
          <cell r="Q62">
            <v>0.96980261657768152</v>
          </cell>
          <cell r="R62">
            <v>0.97648225414399092</v>
          </cell>
          <cell r="S62">
            <v>0.98168436111126578</v>
          </cell>
          <cell r="T62">
            <v>0.98573576609100078</v>
          </cell>
          <cell r="U62">
            <v>0.98889100346175773</v>
          </cell>
          <cell r="V62">
            <v>0.99134830479687941</v>
          </cell>
          <cell r="W62">
            <v>0.99326205300091452</v>
          </cell>
          <cell r="X62"/>
        </row>
        <row r="63">
          <cell r="B63" t="str">
            <v>Perimeter Daylighting Controls Advanced-NR</v>
          </cell>
          <cell r="C63" t="str">
            <v>LO 20Fast</v>
          </cell>
          <cell r="D63">
            <v>0.22119921692859512</v>
          </cell>
          <cell r="E63">
            <v>0.39346934028736658</v>
          </cell>
          <cell r="F63">
            <v>0.52763344725898531</v>
          </cell>
          <cell r="G63">
            <v>0.63212055882855767</v>
          </cell>
          <cell r="H63">
            <v>0.71349520313980985</v>
          </cell>
          <cell r="I63">
            <v>0.77686983985157021</v>
          </cell>
          <cell r="J63">
            <v>0.82622605654955483</v>
          </cell>
          <cell r="K63">
            <v>0.8646647167633873</v>
          </cell>
          <cell r="L63">
            <v>0.89460077543813565</v>
          </cell>
          <cell r="M63">
            <v>0.91791500137610116</v>
          </cell>
          <cell r="N63">
            <v>0.93607213879329243</v>
          </cell>
          <cell r="O63">
            <v>0.95021293163213605</v>
          </cell>
          <cell r="P63">
            <v>0.96122579216827797</v>
          </cell>
          <cell r="Q63">
            <v>0.96980261657768152</v>
          </cell>
          <cell r="R63">
            <v>0.97648225414399092</v>
          </cell>
          <cell r="S63">
            <v>0.98168436111126578</v>
          </cell>
          <cell r="T63">
            <v>0.98573576609100078</v>
          </cell>
          <cell r="U63">
            <v>0.98889100346175773</v>
          </cell>
          <cell r="V63">
            <v>0.99134830479687941</v>
          </cell>
          <cell r="W63">
            <v>0.99326205300091452</v>
          </cell>
          <cell r="X63"/>
        </row>
        <row r="64">
          <cell r="B64" t="str">
            <v>Lighting Controls Interior-New</v>
          </cell>
          <cell r="C64" t="str">
            <v>LO 12Med</v>
          </cell>
          <cell r="D64">
            <v>0.14319153465074486</v>
          </cell>
          <cell r="E64">
            <v>0.23198513316745922</v>
          </cell>
          <cell r="F64">
            <v>0.34051064246566576</v>
          </cell>
          <cell r="G64">
            <v>0.45988870269369292</v>
          </cell>
          <cell r="H64">
            <v>0.57926676292172008</v>
          </cell>
          <cell r="I64">
            <v>0.68869665146407821</v>
          </cell>
          <cell r="J64">
            <v>0.78129117253838121</v>
          </cell>
          <cell r="K64">
            <v>0.85404401052533374</v>
          </cell>
          <cell r="L64">
            <v>0.90739609171576541</v>
          </cell>
          <cell r="M64">
            <v>0.94407564753418727</v>
          </cell>
          <cell r="N64">
            <v>0.96780947776963666</v>
          </cell>
          <cell r="O64">
            <v>0.98231348513574457</v>
          </cell>
          <cell r="P64">
            <v>0.99071054203191222</v>
          </cell>
          <cell r="Q64">
            <v>0.9953289233248046</v>
          </cell>
          <cell r="R64">
            <v>0.9977480754306054</v>
          </cell>
          <cell r="S64">
            <v>0.99895765148350579</v>
          </cell>
          <cell r="T64">
            <v>0.99953614437837124</v>
          </cell>
          <cell r="U64">
            <v>0.99980128695518455</v>
          </cell>
          <cell r="V64">
            <v>0.99991794968898218</v>
          </cell>
          <cell r="W64">
            <v>0.99996730699943515</v>
          </cell>
          <cell r="X64"/>
        </row>
        <row r="65">
          <cell r="B65" t="str">
            <v>Lighting Controls Interior-NR</v>
          </cell>
          <cell r="C65" t="str">
            <v>LO 12Med</v>
          </cell>
          <cell r="D65">
            <v>0.14319153465074486</v>
          </cell>
          <cell r="E65">
            <v>0.23198513316745922</v>
          </cell>
          <cell r="F65">
            <v>0.34051064246566576</v>
          </cell>
          <cell r="G65">
            <v>0.45988870269369292</v>
          </cell>
          <cell r="H65">
            <v>0.57926676292172008</v>
          </cell>
          <cell r="I65">
            <v>0.68869665146407821</v>
          </cell>
          <cell r="J65">
            <v>0.78129117253838121</v>
          </cell>
          <cell r="K65">
            <v>0.85404401052533374</v>
          </cell>
          <cell r="L65">
            <v>0.90739609171576541</v>
          </cell>
          <cell r="M65">
            <v>0.94407564753418727</v>
          </cell>
          <cell r="N65">
            <v>0.96780947776963666</v>
          </cell>
          <cell r="O65">
            <v>0.98231348513574457</v>
          </cell>
          <cell r="P65">
            <v>0.99071054203191222</v>
          </cell>
          <cell r="Q65">
            <v>0.9953289233248046</v>
          </cell>
          <cell r="R65">
            <v>0.9977480754306054</v>
          </cell>
          <cell r="S65">
            <v>0.99895765148350579</v>
          </cell>
          <cell r="T65">
            <v>0.99953614437837124</v>
          </cell>
          <cell r="U65">
            <v>0.99980128695518455</v>
          </cell>
          <cell r="V65">
            <v>0.99991794968898218</v>
          </cell>
          <cell r="W65">
            <v>0.99996730699943515</v>
          </cell>
          <cell r="X65"/>
        </row>
        <row r="66">
          <cell r="B66" t="str">
            <v>Exterior Building Lighting-New</v>
          </cell>
          <cell r="C66" t="str">
            <v>LO 50Fast</v>
          </cell>
          <cell r="D66"/>
          <cell r="E66"/>
          <cell r="F66"/>
          <cell r="G66"/>
          <cell r="H66"/>
          <cell r="I66"/>
          <cell r="J66"/>
          <cell r="K66"/>
          <cell r="L66"/>
          <cell r="M66"/>
          <cell r="N66"/>
          <cell r="O66"/>
          <cell r="P66"/>
          <cell r="Q66"/>
          <cell r="R66"/>
          <cell r="S66"/>
          <cell r="T66"/>
          <cell r="U66"/>
          <cell r="V66"/>
          <cell r="W66"/>
          <cell r="X66"/>
        </row>
        <row r="67">
          <cell r="B67" t="str">
            <v>Exterior Building Lighting-NR</v>
          </cell>
          <cell r="C67" t="str">
            <v>LO 20Fast</v>
          </cell>
          <cell r="D67">
            <v>0.22119921692859512</v>
          </cell>
          <cell r="E67">
            <v>0.39346934028736658</v>
          </cell>
          <cell r="F67">
            <v>0.52763344725898531</v>
          </cell>
          <cell r="G67">
            <v>0.63212055882855767</v>
          </cell>
          <cell r="H67">
            <v>0.71349520313980985</v>
          </cell>
          <cell r="I67">
            <v>0.77686983985157021</v>
          </cell>
          <cell r="J67">
            <v>0.82622605654955483</v>
          </cell>
          <cell r="K67">
            <v>0.8646647167633873</v>
          </cell>
          <cell r="L67">
            <v>0.89460077543813565</v>
          </cell>
          <cell r="M67">
            <v>0.91791500137610116</v>
          </cell>
          <cell r="N67">
            <v>0.93607213879329243</v>
          </cell>
          <cell r="O67">
            <v>0.95021293163213605</v>
          </cell>
          <cell r="P67">
            <v>0.96122579216827797</v>
          </cell>
          <cell r="Q67">
            <v>0.96980261657768152</v>
          </cell>
          <cell r="R67">
            <v>0.97648225414399092</v>
          </cell>
          <cell r="S67">
            <v>0.98168436111126578</v>
          </cell>
          <cell r="T67">
            <v>0.98573576609100078</v>
          </cell>
          <cell r="U67">
            <v>0.98889100346175773</v>
          </cell>
          <cell r="V67">
            <v>0.99134830479687941</v>
          </cell>
          <cell r="W67">
            <v>0.99326205300091452</v>
          </cell>
          <cell r="X67"/>
        </row>
        <row r="68">
          <cell r="B68" t="str">
            <v>Street and Roadway Lighting-New</v>
          </cell>
          <cell r="C68" t="str">
            <v>LO 50Fast</v>
          </cell>
          <cell r="D68">
            <v>0.6159606548330806</v>
          </cell>
          <cell r="E68">
            <v>0.76218346297296036</v>
          </cell>
          <cell r="F68">
            <v>0.86662832593001715</v>
          </cell>
          <cell r="G68">
            <v>0.93190636527817794</v>
          </cell>
          <cell r="H68">
            <v>0.96817194269382267</v>
          </cell>
          <cell r="I68">
            <v>0.98630473140164487</v>
          </cell>
          <cell r="J68">
            <v>0.99454690808701873</v>
          </cell>
          <cell r="K68">
            <v>0.99798114837259111</v>
          </cell>
          <cell r="L68">
            <v>0.99930201002088814</v>
          </cell>
          <cell r="M68">
            <v>0.99977374632385152</v>
          </cell>
          <cell r="N68">
            <v>0.99993099175817246</v>
          </cell>
          <cell r="O68">
            <v>0.99998013095639793</v>
          </cell>
          <cell r="P68">
            <v>0.9999945836617582</v>
          </cell>
          <cell r="Q68">
            <v>0.99999859830213611</v>
          </cell>
          <cell r="R68">
            <v>0.99999965478644626</v>
          </cell>
          <cell r="S68">
            <v>0.99999991890752382</v>
          </cell>
          <cell r="T68">
            <v>0.99999998179349459</v>
          </cell>
          <cell r="U68">
            <v>0.99999999608576073</v>
          </cell>
          <cell r="V68">
            <v>0.99999999919277494</v>
          </cell>
          <cell r="W68">
            <v>0.9999999998400696</v>
          </cell>
          <cell r="X68"/>
        </row>
        <row r="69">
          <cell r="B69" t="str">
            <v>Street and Roadway Lighting-NR</v>
          </cell>
          <cell r="C69" t="str">
            <v>LO 50Fast</v>
          </cell>
          <cell r="D69">
            <v>0.6159606548330806</v>
          </cell>
          <cell r="E69">
            <v>0.76218346297296036</v>
          </cell>
          <cell r="F69">
            <v>0.86662832593001715</v>
          </cell>
          <cell r="G69">
            <v>0.93190636527817794</v>
          </cell>
          <cell r="H69">
            <v>0.96817194269382267</v>
          </cell>
          <cell r="I69">
            <v>0.98630473140164487</v>
          </cell>
          <cell r="J69">
            <v>0.99454690808701873</v>
          </cell>
          <cell r="K69">
            <v>0.99798114837259111</v>
          </cell>
          <cell r="L69">
            <v>0.99930201002088814</v>
          </cell>
          <cell r="M69">
            <v>0.99977374632385152</v>
          </cell>
          <cell r="N69">
            <v>0.99993099175817246</v>
          </cell>
          <cell r="O69">
            <v>0.99998013095639793</v>
          </cell>
          <cell r="P69">
            <v>0.9999945836617582</v>
          </cell>
          <cell r="Q69">
            <v>0.99999859830213611</v>
          </cell>
          <cell r="R69">
            <v>0.99999965478644626</v>
          </cell>
          <cell r="S69">
            <v>0.99999991890752382</v>
          </cell>
          <cell r="T69">
            <v>0.99999998179349459</v>
          </cell>
          <cell r="U69">
            <v>0.99999999608576073</v>
          </cell>
          <cell r="V69">
            <v>0.99999999919277494</v>
          </cell>
          <cell r="W69">
            <v>0.9999999998400696</v>
          </cell>
          <cell r="X69"/>
        </row>
        <row r="70">
          <cell r="B70" t="str">
            <v>Parking Lighting-New</v>
          </cell>
          <cell r="C70" t="str">
            <v>LO 50Fast</v>
          </cell>
          <cell r="D70">
            <v>0.6159606548330806</v>
          </cell>
          <cell r="E70">
            <v>0.76218346297296036</v>
          </cell>
          <cell r="F70">
            <v>0.86662832593001715</v>
          </cell>
          <cell r="G70">
            <v>0.93190636527817794</v>
          </cell>
          <cell r="H70">
            <v>0.96817194269382267</v>
          </cell>
          <cell r="I70">
            <v>0.98630473140164487</v>
          </cell>
          <cell r="J70">
            <v>0.99454690808701873</v>
          </cell>
          <cell r="K70">
            <v>0.99798114837259111</v>
          </cell>
          <cell r="L70">
            <v>0.99930201002088814</v>
          </cell>
          <cell r="M70">
            <v>0.99977374632385152</v>
          </cell>
          <cell r="N70">
            <v>0.99993099175817246</v>
          </cell>
          <cell r="O70">
            <v>0.99998013095639793</v>
          </cell>
          <cell r="P70">
            <v>0.9999945836617582</v>
          </cell>
          <cell r="Q70">
            <v>0.99999859830213611</v>
          </cell>
          <cell r="R70">
            <v>0.99999965478644626</v>
          </cell>
          <cell r="S70">
            <v>0.99999991890752382</v>
          </cell>
          <cell r="T70">
            <v>0.99999998179349459</v>
          </cell>
          <cell r="U70">
            <v>0.99999999608576073</v>
          </cell>
          <cell r="V70">
            <v>0.99999999919277494</v>
          </cell>
          <cell r="W70">
            <v>0.9999999998400696</v>
          </cell>
          <cell r="X70"/>
        </row>
        <row r="71">
          <cell r="B71" t="str">
            <v>Parking Lighting-NR</v>
          </cell>
          <cell r="C71" t="str">
            <v>LO 12Med</v>
          </cell>
          <cell r="D71">
            <v>0.14319153465074486</v>
          </cell>
          <cell r="E71">
            <v>0.23198513316745922</v>
          </cell>
          <cell r="F71">
            <v>0.34051064246566576</v>
          </cell>
          <cell r="G71">
            <v>0.45988870269369292</v>
          </cell>
          <cell r="H71">
            <v>0.57926676292172008</v>
          </cell>
          <cell r="I71">
            <v>0.68869665146407821</v>
          </cell>
          <cell r="J71">
            <v>0.78129117253838121</v>
          </cell>
          <cell r="K71">
            <v>0.85404401052533374</v>
          </cell>
          <cell r="L71">
            <v>0.90739609171576541</v>
          </cell>
          <cell r="M71">
            <v>0.94407564753418727</v>
          </cell>
          <cell r="N71">
            <v>0.96780947776963666</v>
          </cell>
          <cell r="O71">
            <v>0.98231348513574457</v>
          </cell>
          <cell r="P71">
            <v>0.99071054203191222</v>
          </cell>
          <cell r="Q71">
            <v>0.9953289233248046</v>
          </cell>
          <cell r="R71">
            <v>0.9977480754306054</v>
          </cell>
          <cell r="S71">
            <v>0.99895765148350579</v>
          </cell>
          <cell r="T71">
            <v>0.99953614437837124</v>
          </cell>
          <cell r="U71">
            <v>0.99980128695518455</v>
          </cell>
          <cell r="V71">
            <v>0.99991794968898218</v>
          </cell>
          <cell r="W71">
            <v>0.99996730699943515</v>
          </cell>
          <cell r="X71"/>
        </row>
        <row r="72">
          <cell r="B72" t="str">
            <v>Luminaire Level Lighting Controls-Retro</v>
          </cell>
          <cell r="C72" t="str">
            <v>Retro 20% Remain</v>
          </cell>
          <cell r="D72">
            <v>0.2</v>
          </cell>
          <cell r="E72">
            <v>0.16000000000000003</v>
          </cell>
          <cell r="F72">
            <v>0.12799999999999995</v>
          </cell>
          <cell r="G72">
            <v>0.10240000000000005</v>
          </cell>
          <cell r="H72">
            <v>8.1919999999999993E-2</v>
          </cell>
          <cell r="I72">
            <v>6.5536000000000039E-2</v>
          </cell>
          <cell r="J72">
            <v>5.2428799999999942E-2</v>
          </cell>
          <cell r="K72">
            <v>4.1943040000000043E-2</v>
          </cell>
          <cell r="L72">
            <v>3.3554431999999967E-2</v>
          </cell>
          <cell r="M72">
            <v>2.6843545600000018E-2</v>
          </cell>
          <cell r="N72">
            <v>2.1474836480000037E-2</v>
          </cell>
          <cell r="O72">
            <v>1.7179869183999941E-2</v>
          </cell>
          <cell r="P72">
            <v>1.3743895347199997E-2</v>
          </cell>
          <cell r="Q72">
            <v>1.0995116277759953E-2</v>
          </cell>
          <cell r="R72">
            <v>8.7960930222079625E-3</v>
          </cell>
          <cell r="S72">
            <v>7.0368744177664588E-3</v>
          </cell>
          <cell r="T72">
            <v>5.6294995342131005E-3</v>
          </cell>
          <cell r="U72">
            <v>4.5035996273704582E-3</v>
          </cell>
          <cell r="V72">
            <v>3.6028797018964331E-3</v>
          </cell>
          <cell r="W72">
            <v>2.8823037615171021E-3</v>
          </cell>
          <cell r="X72"/>
        </row>
        <row r="73">
          <cell r="B73" t="str">
            <v>ECM on VAV Boxes-New</v>
          </cell>
          <cell r="C73" t="str">
            <v>LO 20Fast</v>
          </cell>
          <cell r="D73">
            <v>0.22119921692859512</v>
          </cell>
          <cell r="E73">
            <v>0.39346934028736658</v>
          </cell>
          <cell r="F73">
            <v>0.52763344725898531</v>
          </cell>
          <cell r="G73">
            <v>0.63212055882855767</v>
          </cell>
          <cell r="H73">
            <v>0.71349520313980985</v>
          </cell>
          <cell r="I73">
            <v>0.77686983985157021</v>
          </cell>
          <cell r="J73">
            <v>0.82622605654955483</v>
          </cell>
          <cell r="K73">
            <v>0.8646647167633873</v>
          </cell>
          <cell r="L73">
            <v>0.89460077543813565</v>
          </cell>
          <cell r="M73">
            <v>0.91791500137610116</v>
          </cell>
          <cell r="N73">
            <v>0.93607213879329243</v>
          </cell>
          <cell r="O73">
            <v>0.95021293163213605</v>
          </cell>
          <cell r="P73">
            <v>0.96122579216827797</v>
          </cell>
          <cell r="Q73">
            <v>0.96980261657768152</v>
          </cell>
          <cell r="R73">
            <v>0.97648225414399092</v>
          </cell>
          <cell r="S73">
            <v>0.98168436111126578</v>
          </cell>
          <cell r="T73">
            <v>0.98573576609100078</v>
          </cell>
          <cell r="U73">
            <v>0.98889100346175773</v>
          </cell>
          <cell r="V73">
            <v>0.99134830479687941</v>
          </cell>
          <cell r="W73">
            <v>0.99326205300091452</v>
          </cell>
          <cell r="X73"/>
        </row>
        <row r="74">
          <cell r="B74" t="str">
            <v>ECM on VAV Boxes-NR</v>
          </cell>
          <cell r="C74" t="str">
            <v>LO 20Fast</v>
          </cell>
          <cell r="D74">
            <v>0.22119921692859512</v>
          </cell>
          <cell r="E74">
            <v>0.39346934028736658</v>
          </cell>
          <cell r="F74">
            <v>0.52763344725898531</v>
          </cell>
          <cell r="G74">
            <v>0.63212055882855767</v>
          </cell>
          <cell r="H74">
            <v>0.71349520313980985</v>
          </cell>
          <cell r="I74">
            <v>0.77686983985157021</v>
          </cell>
          <cell r="J74">
            <v>0.82622605654955483</v>
          </cell>
          <cell r="K74">
            <v>0.8646647167633873</v>
          </cell>
          <cell r="L74">
            <v>0.89460077543813565</v>
          </cell>
          <cell r="M74">
            <v>0.91791500137610116</v>
          </cell>
          <cell r="N74">
            <v>0.93607213879329243</v>
          </cell>
          <cell r="O74">
            <v>0.95021293163213605</v>
          </cell>
          <cell r="P74">
            <v>0.96122579216827797</v>
          </cell>
          <cell r="Q74">
            <v>0.96980261657768152</v>
          </cell>
          <cell r="R74">
            <v>0.97648225414399092</v>
          </cell>
          <cell r="S74">
            <v>0.98168436111126578</v>
          </cell>
          <cell r="T74">
            <v>0.98573576609100078</v>
          </cell>
          <cell r="U74">
            <v>0.98889100346175773</v>
          </cell>
          <cell r="V74">
            <v>0.99134830479687941</v>
          </cell>
          <cell r="W74">
            <v>0.99326205300091452</v>
          </cell>
          <cell r="X74"/>
        </row>
        <row r="75">
          <cell r="B75" t="str">
            <v>Pool pumps-Retro</v>
          </cell>
          <cell r="C75" t="str">
            <v>Retro 20% Remain</v>
          </cell>
          <cell r="D75">
            <v>0.2</v>
          </cell>
          <cell r="E75">
            <v>0.16000000000000003</v>
          </cell>
          <cell r="F75">
            <v>0.12799999999999995</v>
          </cell>
          <cell r="G75">
            <v>0.10240000000000005</v>
          </cell>
          <cell r="H75">
            <v>8.1919999999999993E-2</v>
          </cell>
          <cell r="I75">
            <v>6.5536000000000039E-2</v>
          </cell>
          <cell r="J75">
            <v>5.2428799999999942E-2</v>
          </cell>
          <cell r="K75">
            <v>4.1943040000000043E-2</v>
          </cell>
          <cell r="L75">
            <v>3.3554431999999967E-2</v>
          </cell>
          <cell r="M75">
            <v>2.6843545600000018E-2</v>
          </cell>
          <cell r="N75">
            <v>2.1474836480000037E-2</v>
          </cell>
          <cell r="O75">
            <v>1.7179869183999941E-2</v>
          </cell>
          <cell r="P75">
            <v>1.3743895347199997E-2</v>
          </cell>
          <cell r="Q75">
            <v>1.0995116277759953E-2</v>
          </cell>
          <cell r="R75">
            <v>8.7960930222079625E-3</v>
          </cell>
          <cell r="S75">
            <v>7.0368744177664588E-3</v>
          </cell>
          <cell r="T75">
            <v>5.6294995342131005E-3</v>
          </cell>
          <cell r="U75">
            <v>4.5035996273704582E-3</v>
          </cell>
          <cell r="V75">
            <v>3.6028797018964331E-3</v>
          </cell>
          <cell r="W75">
            <v>2.8823037615171021E-3</v>
          </cell>
          <cell r="X75"/>
        </row>
        <row r="76">
          <cell r="B76" t="str">
            <v>Switched Reluctance/Permanent Magnet Motors-Retro</v>
          </cell>
          <cell r="C76" t="str">
            <v>Retro 20% Remain</v>
          </cell>
          <cell r="D76">
            <v>0.2</v>
          </cell>
          <cell r="E76">
            <v>0.16000000000000003</v>
          </cell>
          <cell r="F76">
            <v>0.12799999999999995</v>
          </cell>
          <cell r="G76">
            <v>0.10240000000000005</v>
          </cell>
          <cell r="H76">
            <v>8.1919999999999993E-2</v>
          </cell>
          <cell r="I76">
            <v>6.5536000000000039E-2</v>
          </cell>
          <cell r="J76">
            <v>5.2428799999999942E-2</v>
          </cell>
          <cell r="K76">
            <v>4.1943040000000043E-2</v>
          </cell>
          <cell r="L76">
            <v>3.3554431999999967E-2</v>
          </cell>
          <cell r="M76">
            <v>2.6843545600000018E-2</v>
          </cell>
          <cell r="N76">
            <v>2.1474836480000037E-2</v>
          </cell>
          <cell r="O76">
            <v>1.7179869183999941E-2</v>
          </cell>
          <cell r="P76">
            <v>1.3743895347199997E-2</v>
          </cell>
          <cell r="Q76">
            <v>1.0995116277759953E-2</v>
          </cell>
          <cell r="R76">
            <v>8.7960930222079625E-3</v>
          </cell>
          <cell r="S76">
            <v>7.0368744177664588E-3</v>
          </cell>
          <cell r="T76">
            <v>5.6294995342131005E-3</v>
          </cell>
          <cell r="U76">
            <v>4.5035996273704582E-3</v>
          </cell>
          <cell r="V76">
            <v>3.6028797018964331E-3</v>
          </cell>
          <cell r="W76">
            <v>2.8823037615171021E-3</v>
          </cell>
          <cell r="X76"/>
        </row>
        <row r="77">
          <cell r="B77" t="str">
            <v>Motors - Rewind-NR</v>
          </cell>
          <cell r="C77" t="str">
            <v>LO 12Med</v>
          </cell>
          <cell r="D77">
            <v>0.14319153465074486</v>
          </cell>
          <cell r="E77">
            <v>0.23198513316745922</v>
          </cell>
          <cell r="F77">
            <v>0.34051064246566576</v>
          </cell>
          <cell r="G77">
            <v>0.45988870269369292</v>
          </cell>
          <cell r="H77">
            <v>0.57926676292172008</v>
          </cell>
          <cell r="I77">
            <v>0.68869665146407821</v>
          </cell>
          <cell r="J77">
            <v>0.78129117253838121</v>
          </cell>
          <cell r="K77">
            <v>0.85404401052533374</v>
          </cell>
          <cell r="L77">
            <v>0.90739609171576541</v>
          </cell>
          <cell r="M77">
            <v>0.94407564753418727</v>
          </cell>
          <cell r="N77">
            <v>0.96780947776963666</v>
          </cell>
          <cell r="O77">
            <v>0.98231348513574457</v>
          </cell>
          <cell r="P77">
            <v>0.99071054203191222</v>
          </cell>
          <cell r="Q77">
            <v>0.9953289233248046</v>
          </cell>
          <cell r="R77">
            <v>0.9977480754306054</v>
          </cell>
          <cell r="S77">
            <v>0.99895765148350579</v>
          </cell>
          <cell r="T77">
            <v>0.99953614437837124</v>
          </cell>
          <cell r="U77">
            <v>0.99980128695518455</v>
          </cell>
          <cell r="V77">
            <v>0.99991794968898218</v>
          </cell>
          <cell r="W77">
            <v>0.99996730699943515</v>
          </cell>
          <cell r="X77"/>
        </row>
        <row r="78">
          <cell r="B78" t="str">
            <v>Municipal Sewage Treatment-Retro</v>
          </cell>
          <cell r="C78" t="str">
            <v>Retro 20% Remain</v>
          </cell>
          <cell r="D78">
            <v>0.2</v>
          </cell>
          <cell r="E78">
            <v>0.16000000000000003</v>
          </cell>
          <cell r="F78">
            <v>0.12799999999999995</v>
          </cell>
          <cell r="G78">
            <v>0.10240000000000005</v>
          </cell>
          <cell r="H78">
            <v>8.1919999999999993E-2</v>
          </cell>
          <cell r="I78">
            <v>6.5536000000000039E-2</v>
          </cell>
          <cell r="J78">
            <v>5.2428799999999942E-2</v>
          </cell>
          <cell r="K78">
            <v>4.1943040000000043E-2</v>
          </cell>
          <cell r="L78">
            <v>3.3554431999999967E-2</v>
          </cell>
          <cell r="M78">
            <v>2.6843545600000018E-2</v>
          </cell>
          <cell r="N78">
            <v>2.1474836480000037E-2</v>
          </cell>
          <cell r="O78">
            <v>1.7179869183999941E-2</v>
          </cell>
          <cell r="P78">
            <v>1.3743895347199997E-2</v>
          </cell>
          <cell r="Q78">
            <v>1.0995116277759953E-2</v>
          </cell>
          <cell r="R78">
            <v>8.7960930222079625E-3</v>
          </cell>
          <cell r="S78">
            <v>7.0368744177664588E-3</v>
          </cell>
          <cell r="T78">
            <v>5.6294995342131005E-3</v>
          </cell>
          <cell r="U78">
            <v>4.5035996273704582E-3</v>
          </cell>
          <cell r="V78">
            <v>3.6028797018964331E-3</v>
          </cell>
          <cell r="W78">
            <v>2.8823037615171021E-3</v>
          </cell>
          <cell r="X78"/>
        </row>
        <row r="79">
          <cell r="B79" t="str">
            <v>Municipal Water Supply-Retro</v>
          </cell>
          <cell r="C79" t="str">
            <v>Retro 20% Remain</v>
          </cell>
          <cell r="D79">
            <v>0.2</v>
          </cell>
          <cell r="E79">
            <v>0.16000000000000003</v>
          </cell>
          <cell r="F79">
            <v>0.12799999999999995</v>
          </cell>
          <cell r="G79">
            <v>0.10240000000000005</v>
          </cell>
          <cell r="H79">
            <v>8.1919999999999993E-2</v>
          </cell>
          <cell r="I79">
            <v>6.5536000000000039E-2</v>
          </cell>
          <cell r="J79">
            <v>5.2428799999999942E-2</v>
          </cell>
          <cell r="K79">
            <v>4.1943040000000043E-2</v>
          </cell>
          <cell r="L79">
            <v>3.3554431999999967E-2</v>
          </cell>
          <cell r="M79">
            <v>2.6843545600000018E-2</v>
          </cell>
          <cell r="N79">
            <v>2.1474836480000037E-2</v>
          </cell>
          <cell r="O79">
            <v>1.7179869183999941E-2</v>
          </cell>
          <cell r="P79">
            <v>1.3743895347199997E-2</v>
          </cell>
          <cell r="Q79">
            <v>1.0995116277759953E-2</v>
          </cell>
          <cell r="R79">
            <v>8.7960930222079625E-3</v>
          </cell>
          <cell r="S79">
            <v>7.0368744177664588E-3</v>
          </cell>
          <cell r="T79">
            <v>5.6294995342131005E-3</v>
          </cell>
          <cell r="U79">
            <v>4.5035996273704582E-3</v>
          </cell>
          <cell r="V79">
            <v>3.6028797018964331E-3</v>
          </cell>
          <cell r="W79">
            <v>2.8823037615171021E-3</v>
          </cell>
          <cell r="X79"/>
        </row>
        <row r="80">
          <cell r="B80" t="str">
            <v>Engine Generator Block Heaters-Retro</v>
          </cell>
          <cell r="C80" t="str">
            <v>Retro 20% Remain</v>
          </cell>
          <cell r="D80">
            <v>0.2</v>
          </cell>
          <cell r="E80">
            <v>0.16000000000000003</v>
          </cell>
          <cell r="F80">
            <v>0.12799999999999995</v>
          </cell>
          <cell r="G80">
            <v>0.10240000000000005</v>
          </cell>
          <cell r="H80">
            <v>8.1919999999999993E-2</v>
          </cell>
          <cell r="I80">
            <v>6.5536000000000039E-2</v>
          </cell>
          <cell r="J80">
            <v>5.2428799999999942E-2</v>
          </cell>
          <cell r="K80">
            <v>4.1943040000000043E-2</v>
          </cell>
          <cell r="L80">
            <v>3.3554431999999967E-2</v>
          </cell>
          <cell r="M80">
            <v>2.6843545600000018E-2</v>
          </cell>
          <cell r="N80">
            <v>2.1474836480000037E-2</v>
          </cell>
          <cell r="O80">
            <v>1.7179869183999941E-2</v>
          </cell>
          <cell r="P80">
            <v>1.3743895347199997E-2</v>
          </cell>
          <cell r="Q80">
            <v>1.0995116277759953E-2</v>
          </cell>
          <cell r="R80">
            <v>8.7960930222079625E-3</v>
          </cell>
          <cell r="S80">
            <v>7.0368744177664588E-3</v>
          </cell>
          <cell r="T80">
            <v>5.6294995342131005E-3</v>
          </cell>
          <cell r="U80">
            <v>4.5035996273704582E-3</v>
          </cell>
          <cell r="V80">
            <v>3.6028797018964331E-3</v>
          </cell>
          <cell r="W80">
            <v>2.8823037615171021E-3</v>
          </cell>
          <cell r="X80"/>
        </row>
        <row r="81">
          <cell r="B81" t="str">
            <v>Grocery Refrigeration Bundle-Retro</v>
          </cell>
          <cell r="C81" t="str">
            <v>Retro 10% Remain</v>
          </cell>
          <cell r="D81">
            <v>0.1</v>
          </cell>
          <cell r="E81">
            <v>0.09</v>
          </cell>
          <cell r="F81">
            <v>8.1000000000000016E-2</v>
          </cell>
          <cell r="G81">
            <v>7.290000000000002E-2</v>
          </cell>
          <cell r="H81">
            <v>6.5610000000000002E-2</v>
          </cell>
          <cell r="I81">
            <v>5.9049000000000018E-2</v>
          </cell>
          <cell r="J81">
            <v>5.3144100000000027E-2</v>
          </cell>
          <cell r="K81">
            <v>4.7829690000000036E-2</v>
          </cell>
          <cell r="L81">
            <v>4.3046720999999954E-2</v>
          </cell>
          <cell r="M81">
            <v>3.8742048899999992E-2</v>
          </cell>
          <cell r="N81">
            <v>3.4867844009999982E-2</v>
          </cell>
          <cell r="O81">
            <v>3.1381059608999951E-2</v>
          </cell>
          <cell r="P81">
            <v>2.8242953648100033E-2</v>
          </cell>
          <cell r="Q81">
            <v>2.5418658283290041E-2</v>
          </cell>
          <cell r="R81">
            <v>2.2876792454960992E-2</v>
          </cell>
          <cell r="S81">
            <v>2.0589113209464882E-2</v>
          </cell>
          <cell r="T81">
            <v>1.8530201888518394E-2</v>
          </cell>
          <cell r="U81">
            <v>1.6677181699666588E-2</v>
          </cell>
          <cell r="V81">
            <v>1.5009463529699896E-2</v>
          </cell>
          <cell r="W81">
            <v>1.3508517176729962E-2</v>
          </cell>
          <cell r="X81"/>
        </row>
        <row r="82">
          <cell r="B82" t="str">
            <v>Packaged Refrigeration Equipment-New</v>
          </cell>
          <cell r="C82" t="str">
            <v>LO 20Fast</v>
          </cell>
          <cell r="D82">
            <v>0.22119921692859512</v>
          </cell>
          <cell r="E82">
            <v>0.39346934028736658</v>
          </cell>
          <cell r="F82">
            <v>0.52763344725898531</v>
          </cell>
          <cell r="G82">
            <v>0.63212055882855767</v>
          </cell>
          <cell r="H82">
            <v>0.71349520313980985</v>
          </cell>
          <cell r="I82">
            <v>0.77686983985157021</v>
          </cell>
          <cell r="J82">
            <v>0.82622605654955483</v>
          </cell>
          <cell r="K82">
            <v>0.8646647167633873</v>
          </cell>
          <cell r="L82">
            <v>0.89460077543813565</v>
          </cell>
          <cell r="M82">
            <v>0.91791500137610116</v>
          </cell>
          <cell r="N82">
            <v>0.93607213879329243</v>
          </cell>
          <cell r="O82">
            <v>0.95021293163213605</v>
          </cell>
          <cell r="P82">
            <v>0.96122579216827797</v>
          </cell>
          <cell r="Q82">
            <v>0.96980261657768152</v>
          </cell>
          <cell r="R82">
            <v>0.97648225414399092</v>
          </cell>
          <cell r="S82">
            <v>0.98168436111126578</v>
          </cell>
          <cell r="T82">
            <v>0.98573576609100078</v>
          </cell>
          <cell r="U82">
            <v>0.98889100346175773</v>
          </cell>
          <cell r="V82">
            <v>0.99134830479687941</v>
          </cell>
          <cell r="W82">
            <v>0.99326205300091452</v>
          </cell>
          <cell r="X82"/>
        </row>
        <row r="83">
          <cell r="B83" t="str">
            <v>Appliances - Freezers-NR</v>
          </cell>
          <cell r="C83" t="str">
            <v>LO 20Fast</v>
          </cell>
          <cell r="D83">
            <v>0.22119921692859512</v>
          </cell>
          <cell r="E83">
            <v>0.39346934028736658</v>
          </cell>
          <cell r="F83">
            <v>0.52763344725898531</v>
          </cell>
          <cell r="G83">
            <v>0.63212055882855767</v>
          </cell>
          <cell r="H83">
            <v>0.71349520313980985</v>
          </cell>
          <cell r="I83">
            <v>0.77686983985157021</v>
          </cell>
          <cell r="J83">
            <v>0.82622605654955483</v>
          </cell>
          <cell r="K83">
            <v>0.8646647167633873</v>
          </cell>
          <cell r="L83">
            <v>0.89460077543813565</v>
          </cell>
          <cell r="M83">
            <v>0.91791500137610116</v>
          </cell>
          <cell r="N83">
            <v>0.93607213879329243</v>
          </cell>
          <cell r="O83">
            <v>0.95021293163213605</v>
          </cell>
          <cell r="P83">
            <v>0.96122579216827797</v>
          </cell>
          <cell r="Q83">
            <v>0.96980261657768152</v>
          </cell>
          <cell r="R83">
            <v>0.97648225414399092</v>
          </cell>
          <cell r="S83">
            <v>0.98168436111126578</v>
          </cell>
          <cell r="T83">
            <v>0.98573576609100078</v>
          </cell>
          <cell r="U83">
            <v>0.98889100346175773</v>
          </cell>
          <cell r="V83">
            <v>0.99134830479687941</v>
          </cell>
          <cell r="W83">
            <v>0.99326205300091452</v>
          </cell>
          <cell r="X83"/>
        </row>
        <row r="84">
          <cell r="B84" t="str">
            <v>Appliances - Refrigerators-NR</v>
          </cell>
          <cell r="C84" t="str">
            <v>LO 20Fast</v>
          </cell>
          <cell r="D84">
            <v>0.22119921692859512</v>
          </cell>
          <cell r="E84">
            <v>0.39346934028736658</v>
          </cell>
          <cell r="F84">
            <v>0.52763344725898531</v>
          </cell>
          <cell r="G84">
            <v>0.63212055882855767</v>
          </cell>
          <cell r="H84">
            <v>0.71349520313980985</v>
          </cell>
          <cell r="I84">
            <v>0.77686983985157021</v>
          </cell>
          <cell r="J84">
            <v>0.82622605654955483</v>
          </cell>
          <cell r="K84">
            <v>0.8646647167633873</v>
          </cell>
          <cell r="L84">
            <v>0.89460077543813565</v>
          </cell>
          <cell r="M84">
            <v>0.91791500137610116</v>
          </cell>
          <cell r="N84">
            <v>0.93607213879329243</v>
          </cell>
          <cell r="O84">
            <v>0.95021293163213605</v>
          </cell>
          <cell r="P84">
            <v>0.96122579216827797</v>
          </cell>
          <cell r="Q84">
            <v>0.96980261657768152</v>
          </cell>
          <cell r="R84">
            <v>0.97648225414399092</v>
          </cell>
          <cell r="S84">
            <v>0.98168436111126578</v>
          </cell>
          <cell r="T84">
            <v>0.98573576609100078</v>
          </cell>
          <cell r="U84">
            <v>0.98889100346175773</v>
          </cell>
          <cell r="V84">
            <v>0.99134830479687941</v>
          </cell>
          <cell r="W84">
            <v>0.99326205300091452</v>
          </cell>
          <cell r="X84"/>
        </row>
        <row r="85">
          <cell r="B85" t="str">
            <v>Water Cooler Controls-Retro</v>
          </cell>
          <cell r="C85" t="str">
            <v>Retro 10% Remain</v>
          </cell>
          <cell r="D85">
            <v>0.1</v>
          </cell>
          <cell r="E85">
            <v>0.09</v>
          </cell>
          <cell r="F85">
            <v>8.1000000000000016E-2</v>
          </cell>
          <cell r="G85">
            <v>7.290000000000002E-2</v>
          </cell>
          <cell r="H85">
            <v>6.5610000000000002E-2</v>
          </cell>
          <cell r="I85">
            <v>5.9049000000000018E-2</v>
          </cell>
          <cell r="J85">
            <v>5.3144100000000027E-2</v>
          </cell>
          <cell r="K85">
            <v>4.7829690000000036E-2</v>
          </cell>
          <cell r="L85">
            <v>4.3046720999999954E-2</v>
          </cell>
          <cell r="M85">
            <v>3.8742048899999992E-2</v>
          </cell>
          <cell r="N85">
            <v>3.4867844009999982E-2</v>
          </cell>
          <cell r="O85">
            <v>3.1381059608999951E-2</v>
          </cell>
          <cell r="P85">
            <v>2.8242953648100033E-2</v>
          </cell>
          <cell r="Q85">
            <v>2.5418658283290041E-2</v>
          </cell>
          <cell r="R85">
            <v>2.2876792454960992E-2</v>
          </cell>
          <cell r="S85">
            <v>2.0589113209464882E-2</v>
          </cell>
          <cell r="T85">
            <v>1.8530201888518394E-2</v>
          </cell>
          <cell r="U85">
            <v>1.6677181699666588E-2</v>
          </cell>
          <cell r="V85">
            <v>1.5009463529699896E-2</v>
          </cell>
          <cell r="W85">
            <v>1.3508517176729962E-2</v>
          </cell>
          <cell r="X85"/>
        </row>
        <row r="86">
          <cell r="B86" t="str">
            <v>Commercial Clothes Washers-New</v>
          </cell>
          <cell r="C86" t="str">
            <v>LO 20Fast</v>
          </cell>
          <cell r="D86">
            <v>0.22119921692859512</v>
          </cell>
          <cell r="E86">
            <v>0.39346934028736658</v>
          </cell>
          <cell r="F86">
            <v>0.52763344725898531</v>
          </cell>
          <cell r="G86">
            <v>0.63212055882855767</v>
          </cell>
          <cell r="H86">
            <v>0.71349520313980985</v>
          </cell>
          <cell r="I86">
            <v>0.77686983985157021</v>
          </cell>
          <cell r="J86">
            <v>0.82622605654955483</v>
          </cell>
          <cell r="K86">
            <v>0.8646647167633873</v>
          </cell>
          <cell r="L86">
            <v>0.89460077543813565</v>
          </cell>
          <cell r="M86">
            <v>0.91791500137610116</v>
          </cell>
          <cell r="N86">
            <v>0.93607213879329243</v>
          </cell>
          <cell r="O86">
            <v>0.95021293163213605</v>
          </cell>
          <cell r="P86">
            <v>0.96122579216827797</v>
          </cell>
          <cell r="Q86">
            <v>0.96980261657768152</v>
          </cell>
          <cell r="R86">
            <v>0.97648225414399092</v>
          </cell>
          <cell r="S86">
            <v>0.98168436111126578</v>
          </cell>
          <cell r="T86">
            <v>0.98573576609100078</v>
          </cell>
          <cell r="U86">
            <v>0.98889100346175773</v>
          </cell>
          <cell r="V86">
            <v>0.99134830479687941</v>
          </cell>
          <cell r="W86">
            <v>0.99326205300091452</v>
          </cell>
          <cell r="X86"/>
        </row>
        <row r="87">
          <cell r="B87" t="str">
            <v>DHW - Efficient Tanks-Retro</v>
          </cell>
          <cell r="C87" t="str">
            <v>Retro 20% Remain</v>
          </cell>
          <cell r="D87">
            <v>0.2</v>
          </cell>
          <cell r="E87">
            <v>0.16000000000000003</v>
          </cell>
          <cell r="F87">
            <v>0.12799999999999995</v>
          </cell>
          <cell r="G87">
            <v>0.10240000000000005</v>
          </cell>
          <cell r="H87">
            <v>8.1919999999999993E-2</v>
          </cell>
          <cell r="I87">
            <v>6.5536000000000039E-2</v>
          </cell>
          <cell r="J87">
            <v>5.2428799999999942E-2</v>
          </cell>
          <cell r="K87">
            <v>4.1943040000000043E-2</v>
          </cell>
          <cell r="L87">
            <v>3.3554431999999967E-2</v>
          </cell>
          <cell r="M87">
            <v>2.6843545600000018E-2</v>
          </cell>
          <cell r="N87">
            <v>2.1474836480000037E-2</v>
          </cell>
          <cell r="O87">
            <v>1.7179869183999941E-2</v>
          </cell>
          <cell r="P87">
            <v>1.3743895347199997E-2</v>
          </cell>
          <cell r="Q87">
            <v>1.0995116277759953E-2</v>
          </cell>
          <cell r="R87">
            <v>8.7960930222079625E-3</v>
          </cell>
          <cell r="S87">
            <v>7.0368744177664588E-3</v>
          </cell>
          <cell r="T87">
            <v>5.6294995342131005E-3</v>
          </cell>
          <cell r="U87">
            <v>4.5035996273704582E-3</v>
          </cell>
          <cell r="V87">
            <v>3.6028797018964331E-3</v>
          </cell>
          <cell r="W87">
            <v>2.8823037615171021E-3</v>
          </cell>
          <cell r="X87"/>
        </row>
        <row r="88">
          <cell r="B88" t="str">
            <v>Appliances - Clothes Washers-NR</v>
          </cell>
          <cell r="C88" t="str">
            <v>Retro 20% Remain</v>
          </cell>
          <cell r="D88">
            <v>0.2</v>
          </cell>
          <cell r="E88">
            <v>0.16000000000000003</v>
          </cell>
          <cell r="F88">
            <v>0.12799999999999995</v>
          </cell>
          <cell r="G88">
            <v>0.10240000000000005</v>
          </cell>
          <cell r="H88">
            <v>8.1919999999999993E-2</v>
          </cell>
          <cell r="I88">
            <v>6.5536000000000039E-2</v>
          </cell>
          <cell r="J88">
            <v>5.2428799999999942E-2</v>
          </cell>
          <cell r="K88">
            <v>4.1943040000000043E-2</v>
          </cell>
          <cell r="L88">
            <v>3.3554431999999967E-2</v>
          </cell>
          <cell r="M88">
            <v>2.6843545600000018E-2</v>
          </cell>
          <cell r="N88">
            <v>2.1474836480000037E-2</v>
          </cell>
          <cell r="O88">
            <v>1.7179869183999941E-2</v>
          </cell>
          <cell r="P88">
            <v>1.3743895347199997E-2</v>
          </cell>
          <cell r="Q88">
            <v>1.0995116277759953E-2</v>
          </cell>
          <cell r="R88">
            <v>8.7960930222079625E-3</v>
          </cell>
          <cell r="S88">
            <v>7.0368744177664588E-3</v>
          </cell>
          <cell r="T88">
            <v>5.6294995342131005E-3</v>
          </cell>
          <cell r="U88">
            <v>4.5035996273704582E-3</v>
          </cell>
          <cell r="V88">
            <v>3.6028797018964331E-3</v>
          </cell>
          <cell r="W88">
            <v>2.8823037615171021E-3</v>
          </cell>
          <cell r="X88"/>
        </row>
        <row r="89">
          <cell r="B89" t="str">
            <v>DHW - Showerheads-Retro</v>
          </cell>
          <cell r="C89" t="str">
            <v>Retro 10% Remain</v>
          </cell>
          <cell r="D89">
            <v>0.1</v>
          </cell>
          <cell r="E89">
            <v>0.09</v>
          </cell>
          <cell r="F89">
            <v>8.1000000000000016E-2</v>
          </cell>
          <cell r="G89">
            <v>7.290000000000002E-2</v>
          </cell>
          <cell r="H89">
            <v>6.5610000000000002E-2</v>
          </cell>
          <cell r="I89">
            <v>5.9049000000000018E-2</v>
          </cell>
          <cell r="J89">
            <v>5.3144100000000027E-2</v>
          </cell>
          <cell r="K89">
            <v>4.7829690000000036E-2</v>
          </cell>
          <cell r="L89">
            <v>4.3046720999999954E-2</v>
          </cell>
          <cell r="M89">
            <v>3.8742048899999992E-2</v>
          </cell>
          <cell r="N89">
            <v>3.4867844009999982E-2</v>
          </cell>
          <cell r="O89">
            <v>3.1381059608999951E-2</v>
          </cell>
          <cell r="P89">
            <v>2.8242953648100033E-2</v>
          </cell>
          <cell r="Q89">
            <v>2.5418658283290041E-2</v>
          </cell>
          <cell r="R89">
            <v>2.2876792454960992E-2</v>
          </cell>
          <cell r="S89">
            <v>2.0589113209464882E-2</v>
          </cell>
          <cell r="T89">
            <v>1.8530201888518394E-2</v>
          </cell>
          <cell r="U89">
            <v>1.6677181699666588E-2</v>
          </cell>
          <cell r="V89">
            <v>1.5009463529699896E-2</v>
          </cell>
          <cell r="W89">
            <v>1.3508517176729962E-2</v>
          </cell>
          <cell r="X89"/>
        </row>
        <row r="90">
          <cell r="B90" t="str">
            <v>Water Heating - GFHX-New</v>
          </cell>
          <cell r="C90" t="str">
            <v>Retro 20% Remain</v>
          </cell>
          <cell r="D90">
            <v>0.2</v>
          </cell>
          <cell r="E90">
            <v>0.16000000000000003</v>
          </cell>
          <cell r="F90">
            <v>0.12799999999999995</v>
          </cell>
          <cell r="G90">
            <v>0.10240000000000005</v>
          </cell>
          <cell r="H90">
            <v>8.1919999999999993E-2</v>
          </cell>
          <cell r="I90">
            <v>6.5536000000000039E-2</v>
          </cell>
          <cell r="J90">
            <v>5.2428799999999942E-2</v>
          </cell>
          <cell r="K90">
            <v>4.1943040000000043E-2</v>
          </cell>
          <cell r="L90">
            <v>3.3554431999999967E-2</v>
          </cell>
          <cell r="M90">
            <v>2.6843545600000018E-2</v>
          </cell>
          <cell r="N90">
            <v>2.1474836480000037E-2</v>
          </cell>
          <cell r="O90">
            <v>1.7179869183999941E-2</v>
          </cell>
          <cell r="P90">
            <v>1.3743895347199997E-2</v>
          </cell>
          <cell r="Q90">
            <v>1.0995116277759953E-2</v>
          </cell>
          <cell r="R90">
            <v>8.7960930222079625E-3</v>
          </cell>
          <cell r="S90">
            <v>7.0368744177664588E-3</v>
          </cell>
          <cell r="T90">
            <v>5.6294995342131005E-3</v>
          </cell>
          <cell r="U90">
            <v>4.5035996273704582E-3</v>
          </cell>
          <cell r="V90">
            <v>3.6028797018964331E-3</v>
          </cell>
          <cell r="W90">
            <v>2.8823037615171021E-3</v>
          </cell>
          <cell r="X90"/>
        </row>
        <row r="91">
          <cell r="B91" t="str">
            <v>Demand Control Circulating system DHW-Retro</v>
          </cell>
          <cell r="C91" t="str">
            <v>Retro 10% Remain</v>
          </cell>
          <cell r="D91">
            <v>0.1</v>
          </cell>
          <cell r="E91">
            <v>0.09</v>
          </cell>
          <cell r="F91">
            <v>8.1000000000000016E-2</v>
          </cell>
          <cell r="G91">
            <v>7.290000000000002E-2</v>
          </cell>
          <cell r="H91">
            <v>6.5610000000000002E-2</v>
          </cell>
          <cell r="I91">
            <v>5.9049000000000018E-2</v>
          </cell>
          <cell r="J91">
            <v>5.3144100000000027E-2</v>
          </cell>
          <cell r="K91">
            <v>4.7829690000000036E-2</v>
          </cell>
          <cell r="L91">
            <v>4.3046720999999954E-2</v>
          </cell>
          <cell r="M91">
            <v>3.8742048899999992E-2</v>
          </cell>
          <cell r="N91">
            <v>3.4867844009999982E-2</v>
          </cell>
          <cell r="O91">
            <v>3.1381059608999951E-2</v>
          </cell>
          <cell r="P91">
            <v>2.8242953648100033E-2</v>
          </cell>
          <cell r="Q91">
            <v>2.5418658283290041E-2</v>
          </cell>
          <cell r="R91">
            <v>2.2876792454960992E-2</v>
          </cell>
          <cell r="S91">
            <v>2.0589113209464882E-2</v>
          </cell>
          <cell r="T91">
            <v>1.8530201888518394E-2</v>
          </cell>
          <cell r="U91">
            <v>1.6677181699666588E-2</v>
          </cell>
          <cell r="V91">
            <v>1.5009463529699896E-2</v>
          </cell>
          <cell r="W91">
            <v>1.3508517176729962E-2</v>
          </cell>
          <cell r="X91"/>
        </row>
        <row r="92">
          <cell r="B92" t="str">
            <v>Central HPWH MF-Retro</v>
          </cell>
          <cell r="C92" t="str">
            <v>Retro 10% Remain</v>
          </cell>
          <cell r="D92">
            <v>0.1</v>
          </cell>
          <cell r="E92">
            <v>0.09</v>
          </cell>
          <cell r="F92">
            <v>8.1000000000000016E-2</v>
          </cell>
          <cell r="G92">
            <v>7.290000000000002E-2</v>
          </cell>
          <cell r="H92">
            <v>6.5610000000000002E-2</v>
          </cell>
          <cell r="I92">
            <v>5.9049000000000018E-2</v>
          </cell>
          <cell r="J92">
            <v>5.3144100000000027E-2</v>
          </cell>
          <cell r="K92">
            <v>4.7829690000000036E-2</v>
          </cell>
          <cell r="L92">
            <v>4.3046720999999954E-2</v>
          </cell>
          <cell r="M92">
            <v>3.8742048899999992E-2</v>
          </cell>
          <cell r="N92">
            <v>3.4867844009999982E-2</v>
          </cell>
          <cell r="O92">
            <v>3.1381059608999951E-2</v>
          </cell>
          <cell r="P92">
            <v>2.8242953648100033E-2</v>
          </cell>
          <cell r="Q92">
            <v>2.5418658283290041E-2</v>
          </cell>
          <cell r="R92">
            <v>2.2876792454960992E-2</v>
          </cell>
          <cell r="S92">
            <v>2.0589113209464882E-2</v>
          </cell>
          <cell r="T92">
            <v>1.8530201888518394E-2</v>
          </cell>
          <cell r="U92">
            <v>1.6677181699666588E-2</v>
          </cell>
          <cell r="V92">
            <v>1.5009463529699896E-2</v>
          </cell>
          <cell r="W92">
            <v>1.3508517176729962E-2</v>
          </cell>
          <cell r="X92"/>
        </row>
        <row r="93">
          <cell r="B93" t="str">
            <v>Integrated Building Design-New</v>
          </cell>
          <cell r="C93" t="str">
            <v>LO 6Slow</v>
          </cell>
          <cell r="D93">
            <v>6.8006676335559124E-2</v>
          </cell>
          <cell r="E93">
            <v>0.10723118716323699</v>
          </cell>
          <cell r="F93">
            <v>0.16075403531961785</v>
          </cell>
          <cell r="G93">
            <v>0.23010433848725742</v>
          </cell>
          <cell r="H93">
            <v>0.31530886572260808</v>
          </cell>
          <cell r="I93">
            <v>0.41422820049939479</v>
          </cell>
          <cell r="J93">
            <v>0.52217378221316368</v>
          </cell>
          <cell r="K93">
            <v>0.63212055882855767</v>
          </cell>
          <cell r="L93">
            <v>0.73573838719247031</v>
          </cell>
          <cell r="M93">
            <v>0.82516407372252298</v>
          </cell>
          <cell r="N93">
            <v>0.89499508167340658</v>
          </cell>
          <cell r="O93">
            <v>0.94366375299868188</v>
          </cell>
          <cell r="P93">
            <v>0.97347543075920995</v>
          </cell>
          <cell r="Q93">
            <v>0.9892526107788493</v>
          </cell>
          <cell r="R93">
            <v>0.9963317715481067</v>
          </cell>
          <cell r="S93">
            <v>0.9989696877188875</v>
          </cell>
          <cell r="T93">
            <v>0.99976782261572095</v>
          </cell>
          <cell r="U93">
            <v>0.99995916135687979</v>
          </cell>
          <cell r="V93">
            <v>0.99999455709765817</v>
          </cell>
          <cell r="W93">
            <v>0.99999946762935688</v>
          </cell>
          <cell r="X93"/>
        </row>
        <row r="94">
          <cell r="D94" t="str">
            <v/>
          </cell>
          <cell r="E94" t="str">
            <v/>
          </cell>
          <cell r="F94" t="str">
            <v/>
          </cell>
          <cell r="G94" t="str">
            <v/>
          </cell>
          <cell r="H94" t="str">
            <v/>
          </cell>
          <cell r="I94" t="str">
            <v/>
          </cell>
          <cell r="J94" t="str">
            <v/>
          </cell>
          <cell r="K94" t="str">
            <v/>
          </cell>
          <cell r="L94" t="str">
            <v/>
          </cell>
          <cell r="M94" t="str">
            <v/>
          </cell>
          <cell r="N94" t="str">
            <v/>
          </cell>
          <cell r="O94" t="str">
            <v/>
          </cell>
          <cell r="P94" t="str">
            <v/>
          </cell>
          <cell r="Q94" t="str">
            <v/>
          </cell>
          <cell r="R94" t="str">
            <v/>
          </cell>
          <cell r="S94" t="str">
            <v/>
          </cell>
          <cell r="T94" t="str">
            <v/>
          </cell>
          <cell r="U94" t="str">
            <v/>
          </cell>
          <cell r="V94" t="str">
            <v/>
          </cell>
          <cell r="W94" t="str">
            <v/>
          </cell>
          <cell r="X94"/>
        </row>
        <row r="95">
          <cell r="D95" t="str">
            <v/>
          </cell>
          <cell r="E95" t="str">
            <v/>
          </cell>
          <cell r="F95" t="str">
            <v/>
          </cell>
          <cell r="G95" t="str">
            <v/>
          </cell>
          <cell r="H95" t="str">
            <v/>
          </cell>
          <cell r="I95" t="str">
            <v/>
          </cell>
          <cell r="J95" t="str">
            <v/>
          </cell>
          <cell r="K95" t="str">
            <v/>
          </cell>
          <cell r="L95" t="str">
            <v/>
          </cell>
          <cell r="M95" t="str">
            <v/>
          </cell>
          <cell r="N95" t="str">
            <v/>
          </cell>
          <cell r="O95" t="str">
            <v/>
          </cell>
          <cell r="P95" t="str">
            <v/>
          </cell>
          <cell r="Q95" t="str">
            <v/>
          </cell>
          <cell r="R95" t="str">
            <v/>
          </cell>
          <cell r="S95" t="str">
            <v/>
          </cell>
          <cell r="T95" t="str">
            <v/>
          </cell>
          <cell r="U95" t="str">
            <v/>
          </cell>
          <cell r="V95" t="str">
            <v/>
          </cell>
          <cell r="W95" t="str">
            <v/>
          </cell>
          <cell r="X95"/>
        </row>
        <row r="96">
          <cell r="D96" t="str">
            <v/>
          </cell>
          <cell r="E96" t="str">
            <v/>
          </cell>
          <cell r="F96" t="str">
            <v/>
          </cell>
          <cell r="G96" t="str">
            <v/>
          </cell>
          <cell r="H96" t="str">
            <v/>
          </cell>
          <cell r="I96" t="str">
            <v/>
          </cell>
          <cell r="J96" t="str">
            <v/>
          </cell>
          <cell r="K96" t="str">
            <v/>
          </cell>
          <cell r="L96" t="str">
            <v/>
          </cell>
          <cell r="M96" t="str">
            <v/>
          </cell>
          <cell r="N96" t="str">
            <v/>
          </cell>
          <cell r="O96" t="str">
            <v/>
          </cell>
          <cell r="P96" t="str">
            <v/>
          </cell>
          <cell r="Q96" t="str">
            <v/>
          </cell>
          <cell r="R96" t="str">
            <v/>
          </cell>
          <cell r="S96" t="str">
            <v/>
          </cell>
          <cell r="T96" t="str">
            <v/>
          </cell>
          <cell r="U96" t="str">
            <v/>
          </cell>
          <cell r="V96" t="str">
            <v/>
          </cell>
          <cell r="W96" t="str">
            <v/>
          </cell>
          <cell r="X96"/>
        </row>
        <row r="97">
          <cell r="D97" t="str">
            <v/>
          </cell>
          <cell r="E97" t="str">
            <v/>
          </cell>
          <cell r="F97" t="str">
            <v/>
          </cell>
          <cell r="G97" t="str">
            <v/>
          </cell>
          <cell r="H97" t="str">
            <v/>
          </cell>
          <cell r="I97" t="str">
            <v/>
          </cell>
          <cell r="J97" t="str">
            <v/>
          </cell>
          <cell r="K97" t="str">
            <v/>
          </cell>
          <cell r="L97" t="str">
            <v/>
          </cell>
          <cell r="M97" t="str">
            <v/>
          </cell>
          <cell r="N97" t="str">
            <v/>
          </cell>
          <cell r="O97" t="str">
            <v/>
          </cell>
          <cell r="P97" t="str">
            <v/>
          </cell>
          <cell r="Q97" t="str">
            <v/>
          </cell>
          <cell r="R97" t="str">
            <v/>
          </cell>
          <cell r="S97" t="str">
            <v/>
          </cell>
          <cell r="T97" t="str">
            <v/>
          </cell>
          <cell r="U97" t="str">
            <v/>
          </cell>
          <cell r="V97" t="str">
            <v/>
          </cell>
          <cell r="W97" t="str">
            <v/>
          </cell>
          <cell r="X97"/>
        </row>
        <row r="98">
          <cell r="D98" t="str">
            <v/>
          </cell>
          <cell r="E98" t="str">
            <v/>
          </cell>
          <cell r="F98" t="str">
            <v/>
          </cell>
          <cell r="G98" t="str">
            <v/>
          </cell>
          <cell r="H98" t="str">
            <v/>
          </cell>
          <cell r="I98" t="str">
            <v/>
          </cell>
          <cell r="J98" t="str">
            <v/>
          </cell>
          <cell r="K98" t="str">
            <v/>
          </cell>
          <cell r="L98" t="str">
            <v/>
          </cell>
          <cell r="M98" t="str">
            <v/>
          </cell>
          <cell r="N98" t="str">
            <v/>
          </cell>
          <cell r="O98" t="str">
            <v/>
          </cell>
          <cell r="P98" t="str">
            <v/>
          </cell>
          <cell r="Q98" t="str">
            <v/>
          </cell>
          <cell r="R98" t="str">
            <v/>
          </cell>
          <cell r="S98" t="str">
            <v/>
          </cell>
          <cell r="T98" t="str">
            <v/>
          </cell>
          <cell r="U98" t="str">
            <v/>
          </cell>
          <cell r="V98" t="str">
            <v/>
          </cell>
          <cell r="W98" t="str">
            <v/>
          </cell>
          <cell r="X98"/>
        </row>
        <row r="99">
          <cell r="D99" t="str">
            <v/>
          </cell>
          <cell r="E99" t="str">
            <v/>
          </cell>
          <cell r="F99" t="str">
            <v/>
          </cell>
          <cell r="G99" t="str">
            <v/>
          </cell>
          <cell r="H99" t="str">
            <v/>
          </cell>
          <cell r="I99" t="str">
            <v/>
          </cell>
          <cell r="J99" t="str">
            <v/>
          </cell>
          <cell r="K99" t="str">
            <v/>
          </cell>
          <cell r="L99" t="str">
            <v/>
          </cell>
          <cell r="M99" t="str">
            <v/>
          </cell>
          <cell r="N99" t="str">
            <v/>
          </cell>
          <cell r="O99" t="str">
            <v/>
          </cell>
          <cell r="P99" t="str">
            <v/>
          </cell>
          <cell r="Q99" t="str">
            <v/>
          </cell>
          <cell r="R99" t="str">
            <v/>
          </cell>
          <cell r="S99" t="str">
            <v/>
          </cell>
          <cell r="T99" t="str">
            <v/>
          </cell>
          <cell r="U99" t="str">
            <v/>
          </cell>
          <cell r="V99" t="str">
            <v/>
          </cell>
          <cell r="W99" t="str">
            <v/>
          </cell>
          <cell r="X99"/>
        </row>
        <row r="100">
          <cell r="D100" t="str">
            <v/>
          </cell>
          <cell r="E100" t="str">
            <v/>
          </cell>
          <cell r="F100" t="str">
            <v/>
          </cell>
          <cell r="G100" t="str">
            <v/>
          </cell>
          <cell r="H100" t="str">
            <v/>
          </cell>
          <cell r="I100" t="str">
            <v/>
          </cell>
          <cell r="J100" t="str">
            <v/>
          </cell>
          <cell r="K100" t="str">
            <v/>
          </cell>
          <cell r="L100" t="str">
            <v/>
          </cell>
          <cell r="M100" t="str">
            <v/>
          </cell>
          <cell r="N100" t="str">
            <v/>
          </cell>
          <cell r="O100" t="str">
            <v/>
          </cell>
          <cell r="P100" t="str">
            <v/>
          </cell>
          <cell r="Q100" t="str">
            <v/>
          </cell>
          <cell r="R100" t="str">
            <v/>
          </cell>
          <cell r="S100" t="str">
            <v/>
          </cell>
          <cell r="T100" t="str">
            <v/>
          </cell>
          <cell r="U100" t="str">
            <v/>
          </cell>
          <cell r="V100" t="str">
            <v/>
          </cell>
          <cell r="W100" t="str">
            <v/>
          </cell>
          <cell r="X100"/>
        </row>
        <row r="101">
          <cell r="D101" t="str">
            <v/>
          </cell>
          <cell r="E101" t="str">
            <v/>
          </cell>
          <cell r="F101" t="str">
            <v/>
          </cell>
          <cell r="G101" t="str">
            <v/>
          </cell>
          <cell r="H101" t="str">
            <v/>
          </cell>
          <cell r="I101" t="str">
            <v/>
          </cell>
          <cell r="J101" t="str">
            <v/>
          </cell>
          <cell r="K101" t="str">
            <v/>
          </cell>
          <cell r="L101" t="str">
            <v/>
          </cell>
          <cell r="M101" t="str">
            <v/>
          </cell>
          <cell r="N101" t="str">
            <v/>
          </cell>
          <cell r="O101" t="str">
            <v/>
          </cell>
          <cell r="P101" t="str">
            <v/>
          </cell>
          <cell r="Q101" t="str">
            <v/>
          </cell>
          <cell r="R101" t="str">
            <v/>
          </cell>
          <cell r="S101" t="str">
            <v/>
          </cell>
          <cell r="T101" t="str">
            <v/>
          </cell>
          <cell r="U101" t="str">
            <v/>
          </cell>
          <cell r="V101" t="str">
            <v/>
          </cell>
          <cell r="W101" t="str">
            <v/>
          </cell>
          <cell r="X101"/>
        </row>
        <row r="102">
          <cell r="D102" t="str">
            <v/>
          </cell>
          <cell r="E102" t="str">
            <v/>
          </cell>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cell r="X102"/>
        </row>
        <row r="103">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cell r="X103"/>
        </row>
        <row r="104">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cell r="X104"/>
        </row>
        <row r="105">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cell r="X105"/>
        </row>
        <row r="106">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cell r="X106"/>
        </row>
        <row r="107">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cell r="X107"/>
        </row>
        <row r="108">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cell r="X108"/>
        </row>
        <row r="109">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cell r="X109"/>
        </row>
      </sheetData>
      <sheetData sheetId="9"/>
      <sheetData sheetId="10"/>
      <sheetData sheetId="11"/>
      <sheetData sheetId="12"/>
      <sheetData sheetId="13"/>
      <sheetData sheetId="14"/>
      <sheetData sheetId="15">
        <row r="4">
          <cell r="C4" t="str">
            <v>PRE2002</v>
          </cell>
          <cell r="D4" t="str">
            <v>Com_Master_7P.xlsm!_PRE2002</v>
          </cell>
        </row>
        <row r="5">
          <cell r="C5" t="str">
            <v>PRE1987</v>
          </cell>
          <cell r="D5" t="str">
            <v>Com_Master_7P.xlsm!PRE1987</v>
          </cell>
        </row>
        <row r="6">
          <cell r="C6" t="str">
            <v>POST2002</v>
          </cell>
          <cell r="D6" t="str">
            <v>Com_Master_7P.xlsm!POST2002</v>
          </cell>
        </row>
        <row r="7">
          <cell r="C7" t="str">
            <v>V1987_2001</v>
          </cell>
          <cell r="D7" t="str">
            <v>Com_Master_7P.xlsm!V1987_2001</v>
          </cell>
        </row>
        <row r="8">
          <cell r="C8" t="str">
            <v>V1987_1994</v>
          </cell>
          <cell r="D8" t="str">
            <v>Com_Master_7P.xlsm!V1987_1994</v>
          </cell>
        </row>
        <row r="9">
          <cell r="C9" t="str">
            <v>V1995_2001</v>
          </cell>
          <cell r="D9" t="str">
            <v>Com_Master_7P.xlsm!V1995_2001</v>
          </cell>
        </row>
        <row r="10">
          <cell r="C10" t="str">
            <v>V2002_2006</v>
          </cell>
          <cell r="D10" t="str">
            <v>Com_Master_7P.xlsm!V2002_2006</v>
          </cell>
        </row>
        <row r="11">
          <cell r="C11" t="str">
            <v>POST2013</v>
          </cell>
          <cell r="D11" t="str">
            <v>Com_Master_7P.xlsm!POST2013</v>
          </cell>
        </row>
        <row r="12">
          <cell r="C12" t="str">
            <v>_PRE2013</v>
          </cell>
          <cell r="D12" t="str">
            <v>Com_Master_7P.xlsm!_PRE2013</v>
          </cell>
        </row>
      </sheetData>
      <sheetData sheetId="16"/>
      <sheetData sheetId="17"/>
      <sheetData sheetId="18"/>
      <sheetData sheetId="1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ponsorInCode"/>
      <sheetName val="PartsOfProCostThatNeedToBeChang"/>
    </sheetNames>
    <definedNames>
      <definedName name="PC_Main" refersTo="#REF!"/>
      <definedName name="TestMeasure" refersTo="#REF!"/>
    </defined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LOG"/>
      <sheetName val="Pop Forecast (Base Case)"/>
      <sheetName val="Res Forecast (Base Case)"/>
      <sheetName val="Com Forecast (Base Case)"/>
      <sheetName val="Ind Forecast (Base Case)"/>
      <sheetName val="Ag Forecast (Base Case)"/>
      <sheetName val="DEI (Base Case)"/>
      <sheetName val="Pop Forecast (High Case)"/>
      <sheetName val="Pop Forecast (Low Case)"/>
      <sheetName val="7P Forecasts D2"/>
      <sheetName val="ProCost 6th Plan Inputs"/>
    </sheetNames>
    <sheetDataSet>
      <sheetData sheetId="0"/>
      <sheetData sheetId="1">
        <row r="5">
          <cell r="B5" t="str">
            <v>Abrev</v>
          </cell>
          <cell r="C5" t="str">
            <v>POPULATION FORECAST (1000s)</v>
          </cell>
          <cell r="D5" t="str">
            <v>Scenario</v>
          </cell>
          <cell r="E5">
            <v>1985</v>
          </cell>
          <cell r="F5">
            <v>1986</v>
          </cell>
          <cell r="G5">
            <v>1987</v>
          </cell>
          <cell r="H5">
            <v>1988</v>
          </cell>
          <cell r="I5">
            <v>1989</v>
          </cell>
          <cell r="J5">
            <v>1990</v>
          </cell>
          <cell r="K5">
            <v>1991</v>
          </cell>
          <cell r="L5">
            <v>1992</v>
          </cell>
          <cell r="M5">
            <v>1993</v>
          </cell>
          <cell r="N5">
            <v>1994</v>
          </cell>
          <cell r="O5">
            <v>1995</v>
          </cell>
          <cell r="P5">
            <v>1996</v>
          </cell>
          <cell r="Q5">
            <v>1997</v>
          </cell>
          <cell r="R5">
            <v>1998</v>
          </cell>
          <cell r="S5">
            <v>1999</v>
          </cell>
          <cell r="T5">
            <v>2000</v>
          </cell>
          <cell r="U5">
            <v>2001</v>
          </cell>
          <cell r="V5">
            <v>2002</v>
          </cell>
          <cell r="W5">
            <v>2003</v>
          </cell>
          <cell r="X5">
            <v>2004</v>
          </cell>
          <cell r="Y5">
            <v>2005</v>
          </cell>
          <cell r="Z5">
            <v>2006</v>
          </cell>
          <cell r="AA5">
            <v>2007</v>
          </cell>
          <cell r="AB5">
            <v>2008</v>
          </cell>
          <cell r="AC5">
            <v>2009</v>
          </cell>
          <cell r="AD5">
            <v>2010</v>
          </cell>
          <cell r="AE5">
            <v>2011</v>
          </cell>
          <cell r="AF5">
            <v>2012</v>
          </cell>
          <cell r="AG5">
            <v>2013</v>
          </cell>
          <cell r="AH5">
            <v>2014</v>
          </cell>
          <cell r="AI5">
            <v>2015</v>
          </cell>
          <cell r="AJ5">
            <v>2016</v>
          </cell>
          <cell r="AK5">
            <v>2017</v>
          </cell>
          <cell r="AL5">
            <v>2018</v>
          </cell>
          <cell r="AM5">
            <v>2019</v>
          </cell>
          <cell r="AN5">
            <v>2020</v>
          </cell>
          <cell r="AO5">
            <v>2021</v>
          </cell>
          <cell r="AP5">
            <v>2022</v>
          </cell>
          <cell r="AQ5">
            <v>2023</v>
          </cell>
          <cell r="AR5">
            <v>2024</v>
          </cell>
          <cell r="AS5">
            <v>2025</v>
          </cell>
          <cell r="AT5">
            <v>2026</v>
          </cell>
          <cell r="AU5">
            <v>2027</v>
          </cell>
          <cell r="AV5">
            <v>2028</v>
          </cell>
          <cell r="AW5">
            <v>2029</v>
          </cell>
          <cell r="AX5">
            <v>2030</v>
          </cell>
          <cell r="AY5">
            <v>2031</v>
          </cell>
          <cell r="AZ5">
            <v>2032</v>
          </cell>
          <cell r="BA5">
            <v>2033</v>
          </cell>
          <cell r="BB5">
            <v>2034</v>
          </cell>
          <cell r="BC5">
            <v>2035</v>
          </cell>
        </row>
        <row r="6">
          <cell r="B6" t="str">
            <v>Or</v>
          </cell>
          <cell r="C6" t="str">
            <v>Oregon</v>
          </cell>
          <cell r="D6" t="str">
            <v>Trend (basecase)</v>
          </cell>
          <cell r="E6">
            <v>2674.306</v>
          </cell>
          <cell r="F6">
            <v>2686.1149999999998</v>
          </cell>
          <cell r="G6">
            <v>2707.4250000000002</v>
          </cell>
          <cell r="H6">
            <v>2747.9569999999999</v>
          </cell>
          <cell r="I6">
            <v>2800.471</v>
          </cell>
          <cell r="J6">
            <v>2868.6590000000001</v>
          </cell>
          <cell r="K6">
            <v>2935.9960000000001</v>
          </cell>
          <cell r="L6">
            <v>3000.55</v>
          </cell>
          <cell r="M6">
            <v>3067.395</v>
          </cell>
          <cell r="N6">
            <v>3129.1930000000002</v>
          </cell>
          <cell r="O6">
            <v>3192.0929999999998</v>
          </cell>
          <cell r="P6">
            <v>3253.8310000000001</v>
          </cell>
          <cell r="Q6">
            <v>3309.7</v>
          </cell>
          <cell r="R6">
            <v>3357.1759999999999</v>
          </cell>
          <cell r="S6">
            <v>3398.232</v>
          </cell>
          <cell r="T6">
            <v>3434.8069999999998</v>
          </cell>
          <cell r="U6">
            <v>3474.0340000000001</v>
          </cell>
          <cell r="V6">
            <v>3516.915</v>
          </cell>
          <cell r="W6">
            <v>3549.38</v>
          </cell>
          <cell r="X6">
            <v>3576.2510000000002</v>
          </cell>
          <cell r="Y6">
            <v>3621.221</v>
          </cell>
          <cell r="Z6">
            <v>3676.88</v>
          </cell>
          <cell r="AA6">
            <v>3727.835</v>
          </cell>
          <cell r="AB6">
            <v>3773.288</v>
          </cell>
          <cell r="AC6">
            <v>3811.7179999999998</v>
          </cell>
          <cell r="AD6">
            <v>3841.4360000000001</v>
          </cell>
          <cell r="AE6">
            <v>3871.9769999999999</v>
          </cell>
          <cell r="AF6">
            <v>3903.4650000000001</v>
          </cell>
          <cell r="AG6">
            <v>3934.049</v>
          </cell>
          <cell r="AH6">
            <v>3966.8829999999998</v>
          </cell>
          <cell r="AI6">
            <v>4002.799</v>
          </cell>
          <cell r="AJ6">
            <v>4039.9940000000001</v>
          </cell>
          <cell r="AK6">
            <v>4078.125</v>
          </cell>
          <cell r="AL6">
            <v>4116.6090000000004</v>
          </cell>
          <cell r="AM6">
            <v>4154.674</v>
          </cell>
          <cell r="AN6">
            <v>4192.0780000000004</v>
          </cell>
          <cell r="AO6">
            <v>4228.7430000000004</v>
          </cell>
          <cell r="AP6">
            <v>4264.6490000000003</v>
          </cell>
          <cell r="AQ6">
            <v>4299.7920000000004</v>
          </cell>
          <cell r="AR6">
            <v>4334.1710000000003</v>
          </cell>
          <cell r="AS6">
            <v>4367.7330000000002</v>
          </cell>
          <cell r="AT6">
            <v>4400.4340000000002</v>
          </cell>
          <cell r="AU6">
            <v>4432.5820000000003</v>
          </cell>
          <cell r="AV6">
            <v>4464.3519999999999</v>
          </cell>
          <cell r="AW6">
            <v>4495.7730000000001</v>
          </cell>
          <cell r="AX6">
            <v>4526.8729999999996</v>
          </cell>
          <cell r="AY6">
            <v>4557.6930000000002</v>
          </cell>
          <cell r="AZ6">
            <v>4588.2659999999996</v>
          </cell>
          <cell r="BA6">
            <v>4618.6210000000001</v>
          </cell>
          <cell r="BB6">
            <v>4648.692</v>
          </cell>
          <cell r="BC6">
            <v>4678.3620000000001</v>
          </cell>
        </row>
        <row r="7">
          <cell r="B7" t="str">
            <v>WA</v>
          </cell>
          <cell r="C7" t="str">
            <v>Washington</v>
          </cell>
          <cell r="D7" t="str">
            <v>Trend (basecase)</v>
          </cell>
          <cell r="E7">
            <v>4406.3850000000002</v>
          </cell>
          <cell r="F7">
            <v>4464.1899999999996</v>
          </cell>
          <cell r="G7">
            <v>4547.0309999999999</v>
          </cell>
          <cell r="H7">
            <v>4652.9070000000002</v>
          </cell>
          <cell r="I7">
            <v>4768.7150000000001</v>
          </cell>
          <cell r="J7">
            <v>4915.9459999999999</v>
          </cell>
          <cell r="K7">
            <v>5043.0330000000004</v>
          </cell>
          <cell r="L7">
            <v>5174.2219999999998</v>
          </cell>
          <cell r="M7">
            <v>5289.3639999999996</v>
          </cell>
          <cell r="N7">
            <v>5388.8370000000004</v>
          </cell>
          <cell r="O7">
            <v>5490.92</v>
          </cell>
          <cell r="P7">
            <v>5583.7539999999999</v>
          </cell>
          <cell r="Q7">
            <v>5685.8310000000001</v>
          </cell>
          <cell r="R7">
            <v>5777.2370000000001</v>
          </cell>
          <cell r="S7">
            <v>5850.9089999999997</v>
          </cell>
          <cell r="T7">
            <v>5920.5039999999999</v>
          </cell>
          <cell r="U7">
            <v>5993.451</v>
          </cell>
          <cell r="V7">
            <v>6057.85</v>
          </cell>
          <cell r="W7">
            <v>6114.7939999999999</v>
          </cell>
          <cell r="X7">
            <v>6188.66</v>
          </cell>
          <cell r="Y7">
            <v>6273.5249999999996</v>
          </cell>
          <cell r="Z7">
            <v>6380.576</v>
          </cell>
          <cell r="AA7">
            <v>6474.665</v>
          </cell>
          <cell r="AB7">
            <v>6575.5370000000003</v>
          </cell>
          <cell r="AC7">
            <v>6675.0910000000003</v>
          </cell>
          <cell r="AD7">
            <v>6752.683</v>
          </cell>
          <cell r="AE7">
            <v>6830.3310000000001</v>
          </cell>
          <cell r="AF7">
            <v>6904.9059999999999</v>
          </cell>
          <cell r="AG7">
            <v>6981</v>
          </cell>
          <cell r="AH7">
            <v>7058.0010000000002</v>
          </cell>
          <cell r="AI7">
            <v>7134.8850000000002</v>
          </cell>
          <cell r="AJ7">
            <v>7210.4989999999998</v>
          </cell>
          <cell r="AK7">
            <v>7285.5159999999996</v>
          </cell>
          <cell r="AL7">
            <v>7360.0730000000003</v>
          </cell>
          <cell r="AM7">
            <v>7433.7640000000001</v>
          </cell>
          <cell r="AN7">
            <v>7506.3230000000003</v>
          </cell>
          <cell r="AO7">
            <v>7577.2960000000003</v>
          </cell>
          <cell r="AP7">
            <v>7646.607</v>
          </cell>
          <cell r="AQ7">
            <v>7714.268</v>
          </cell>
          <cell r="AR7">
            <v>7780.4369999999999</v>
          </cell>
          <cell r="AS7">
            <v>7845.4889999999996</v>
          </cell>
          <cell r="AT7">
            <v>7909.7030000000004</v>
          </cell>
          <cell r="AU7">
            <v>7973.1719999999996</v>
          </cell>
          <cell r="AV7">
            <v>8035.9170000000004</v>
          </cell>
          <cell r="AW7">
            <v>8097.9880000000003</v>
          </cell>
          <cell r="AX7">
            <v>8159.4440000000004</v>
          </cell>
          <cell r="AY7">
            <v>8220.3349999999991</v>
          </cell>
          <cell r="AZ7">
            <v>8280.7260000000006</v>
          </cell>
          <cell r="BA7">
            <v>8340.6640000000007</v>
          </cell>
          <cell r="BB7">
            <v>8400.2720000000008</v>
          </cell>
          <cell r="BC7">
            <v>8459.8109999999997</v>
          </cell>
        </row>
        <row r="8">
          <cell r="B8" t="str">
            <v>ID</v>
          </cell>
          <cell r="C8" t="str">
            <v>Idaho</v>
          </cell>
          <cell r="D8" t="str">
            <v>Trend (basecase)</v>
          </cell>
          <cell r="E8">
            <v>993.13199999999995</v>
          </cell>
          <cell r="F8">
            <v>989.48</v>
          </cell>
          <cell r="G8">
            <v>985.447</v>
          </cell>
          <cell r="H8">
            <v>987.25800000000004</v>
          </cell>
          <cell r="I8">
            <v>997.22299999999996</v>
          </cell>
          <cell r="J8">
            <v>1016.634</v>
          </cell>
          <cell r="K8">
            <v>1045.135</v>
          </cell>
          <cell r="L8">
            <v>1076.6510000000001</v>
          </cell>
          <cell r="M8">
            <v>1113.1759999999999</v>
          </cell>
          <cell r="N8">
            <v>1148.825</v>
          </cell>
          <cell r="O8">
            <v>1180.0889999999999</v>
          </cell>
          <cell r="P8">
            <v>1206.2</v>
          </cell>
          <cell r="Q8">
            <v>1231.357</v>
          </cell>
          <cell r="R8">
            <v>1255.1849999999999</v>
          </cell>
          <cell r="S8">
            <v>1278.7760000000001</v>
          </cell>
          <cell r="T8">
            <v>1301.894</v>
          </cell>
          <cell r="U8">
            <v>1322.481</v>
          </cell>
          <cell r="V8">
            <v>1343.3820000000001</v>
          </cell>
          <cell r="W8">
            <v>1367.23</v>
          </cell>
          <cell r="X8">
            <v>1396.7929999999999</v>
          </cell>
          <cell r="Y8">
            <v>1433.46</v>
          </cell>
          <cell r="Z8">
            <v>1472.8989999999999</v>
          </cell>
          <cell r="AA8">
            <v>1508.2539999999999</v>
          </cell>
          <cell r="AB8">
            <v>1536.239</v>
          </cell>
          <cell r="AC8">
            <v>1556.479</v>
          </cell>
          <cell r="AD8">
            <v>1572.4290000000001</v>
          </cell>
          <cell r="AE8">
            <v>1585.2860000000001</v>
          </cell>
          <cell r="AF8">
            <v>1597.952</v>
          </cell>
          <cell r="AG8">
            <v>1614.3810000000001</v>
          </cell>
          <cell r="AH8">
            <v>1633.1020000000001</v>
          </cell>
          <cell r="AI8">
            <v>1653.616</v>
          </cell>
          <cell r="AJ8">
            <v>1675.2660000000001</v>
          </cell>
          <cell r="AK8">
            <v>1698.1659999999999</v>
          </cell>
          <cell r="AL8">
            <v>1722.0160000000001</v>
          </cell>
          <cell r="AM8">
            <v>1746.183</v>
          </cell>
          <cell r="AN8">
            <v>1770.4179999999999</v>
          </cell>
          <cell r="AO8">
            <v>1794.69</v>
          </cell>
          <cell r="AP8">
            <v>1818.9970000000001</v>
          </cell>
          <cell r="AQ8">
            <v>1843.36</v>
          </cell>
          <cell r="AR8">
            <v>1867.77</v>
          </cell>
          <cell r="AS8">
            <v>1892.2149999999999</v>
          </cell>
          <cell r="AT8">
            <v>1916.6949999999999</v>
          </cell>
          <cell r="AU8">
            <v>1941.2059999999999</v>
          </cell>
          <cell r="AV8">
            <v>1965.741</v>
          </cell>
          <cell r="AW8">
            <v>1990.2360000000001</v>
          </cell>
          <cell r="AX8">
            <v>2014.665</v>
          </cell>
          <cell r="AY8">
            <v>2039.0309999999999</v>
          </cell>
          <cell r="AZ8">
            <v>2063.33</v>
          </cell>
          <cell r="BA8">
            <v>2087.5639999999999</v>
          </cell>
          <cell r="BB8">
            <v>2111.7449999999999</v>
          </cell>
          <cell r="BC8">
            <v>2135.9479999999999</v>
          </cell>
        </row>
        <row r="9">
          <cell r="B9" t="str">
            <v>MT</v>
          </cell>
          <cell r="C9" t="str">
            <v>Montana</v>
          </cell>
          <cell r="D9" t="str">
            <v>Trend (basecase)</v>
          </cell>
          <cell r="E9">
            <v>820.61699999999996</v>
          </cell>
          <cell r="F9">
            <v>812.64099999999996</v>
          </cell>
          <cell r="G9">
            <v>804.69</v>
          </cell>
          <cell r="H9">
            <v>800.39700000000005</v>
          </cell>
          <cell r="I9">
            <v>799.77599999999995</v>
          </cell>
          <cell r="J9">
            <v>801.93899999999996</v>
          </cell>
          <cell r="K9">
            <v>812.08500000000004</v>
          </cell>
          <cell r="L9">
            <v>828.29399999999998</v>
          </cell>
          <cell r="M9">
            <v>846.649</v>
          </cell>
          <cell r="N9">
            <v>863.10900000000004</v>
          </cell>
          <cell r="O9">
            <v>877.40700000000004</v>
          </cell>
          <cell r="P9">
            <v>886.32100000000003</v>
          </cell>
          <cell r="Q9">
            <v>890.12</v>
          </cell>
          <cell r="R9">
            <v>893.221</v>
          </cell>
          <cell r="S9">
            <v>898.36199999999997</v>
          </cell>
          <cell r="T9">
            <v>903.97699999999998</v>
          </cell>
          <cell r="U9">
            <v>907.64300000000003</v>
          </cell>
          <cell r="V9">
            <v>912.86199999999997</v>
          </cell>
          <cell r="W9">
            <v>921.07</v>
          </cell>
          <cell r="X9">
            <v>931.24400000000003</v>
          </cell>
          <cell r="Y9">
            <v>941.82</v>
          </cell>
          <cell r="Z9">
            <v>954.14599999999996</v>
          </cell>
          <cell r="AA9">
            <v>966.13900000000001</v>
          </cell>
          <cell r="AB9">
            <v>977.09500000000003</v>
          </cell>
          <cell r="AC9">
            <v>984.86599999999999</v>
          </cell>
          <cell r="AD9">
            <v>991.57600000000002</v>
          </cell>
          <cell r="AE9">
            <v>998.63499999999999</v>
          </cell>
          <cell r="AF9">
            <v>1006.807</v>
          </cell>
          <cell r="AG9">
            <v>1016.352</v>
          </cell>
          <cell r="AH9">
            <v>1025.7760000000001</v>
          </cell>
          <cell r="AI9">
            <v>1034.779</v>
          </cell>
          <cell r="AJ9">
            <v>1043.723</v>
          </cell>
          <cell r="AK9">
            <v>1052.69</v>
          </cell>
          <cell r="AL9">
            <v>1061.3920000000001</v>
          </cell>
          <cell r="AM9">
            <v>1069.5709999999999</v>
          </cell>
          <cell r="AN9">
            <v>1077.162</v>
          </cell>
          <cell r="AO9">
            <v>1084.1869999999999</v>
          </cell>
          <cell r="AP9">
            <v>1090.6420000000001</v>
          </cell>
          <cell r="AQ9">
            <v>1096.5219999999999</v>
          </cell>
          <cell r="AR9">
            <v>1101.83</v>
          </cell>
          <cell r="AS9">
            <v>1106.683</v>
          </cell>
          <cell r="AT9">
            <v>1111.384</v>
          </cell>
          <cell r="AU9">
            <v>1115.998</v>
          </cell>
          <cell r="AV9">
            <v>1120.511</v>
          </cell>
          <cell r="AW9">
            <v>1124.9100000000001</v>
          </cell>
          <cell r="AX9">
            <v>1129.1980000000001</v>
          </cell>
          <cell r="AY9">
            <v>1133.386</v>
          </cell>
          <cell r="AZ9">
            <v>1137.4849999999999</v>
          </cell>
          <cell r="BA9">
            <v>1141.509</v>
          </cell>
          <cell r="BB9">
            <v>1145.4690000000001</v>
          </cell>
          <cell r="BC9">
            <v>1149.357</v>
          </cell>
        </row>
        <row r="10">
          <cell r="B10" t="str">
            <v>Region</v>
          </cell>
          <cell r="C10" t="str">
            <v>Region (with WMT only)</v>
          </cell>
          <cell r="D10" t="str">
            <v>Trend (basecase)</v>
          </cell>
          <cell r="E10">
            <v>8541.5746899999995</v>
          </cell>
          <cell r="F10">
            <v>8602.9903699999995</v>
          </cell>
          <cell r="G10">
            <v>8698.5763000000006</v>
          </cell>
          <cell r="H10">
            <v>8844.3482899999999</v>
          </cell>
          <cell r="I10">
            <v>9022.2813200000001</v>
          </cell>
          <cell r="J10">
            <v>9258.3442299999988</v>
          </cell>
          <cell r="K10">
            <v>9487.052450000001</v>
          </cell>
          <cell r="L10">
            <v>9723.550580000001</v>
          </cell>
          <cell r="M10">
            <v>9952.5249299999996</v>
          </cell>
          <cell r="N10">
            <v>10158.827130000001</v>
          </cell>
          <cell r="O10">
            <v>10363.223989999999</v>
          </cell>
          <cell r="P10">
            <v>10548.98797</v>
          </cell>
          <cell r="Q10">
            <v>10734.256399999998</v>
          </cell>
          <cell r="R10">
            <v>10898.733969999999</v>
          </cell>
          <cell r="S10">
            <v>11039.983339999999</v>
          </cell>
          <cell r="T10">
            <v>11172.471890000001</v>
          </cell>
          <cell r="U10">
            <v>11307.32251</v>
          </cell>
          <cell r="V10">
            <v>11438.47834</v>
          </cell>
          <cell r="W10">
            <v>11556.4139</v>
          </cell>
          <cell r="X10">
            <v>11692.513080000001</v>
          </cell>
          <cell r="Y10">
            <v>11865.043399999999</v>
          </cell>
          <cell r="Z10">
            <v>12074.218219999999</v>
          </cell>
          <cell r="AA10">
            <v>12261.453230000001</v>
          </cell>
          <cell r="AB10">
            <v>12442.00815</v>
          </cell>
          <cell r="AC10">
            <v>12604.661620000001</v>
          </cell>
          <cell r="AD10">
            <v>12731.74632</v>
          </cell>
          <cell r="AE10">
            <v>12856.81595</v>
          </cell>
          <cell r="AF10">
            <v>12980.202989999998</v>
          </cell>
          <cell r="AG10">
            <v>13108.750639999998</v>
          </cell>
          <cell r="AH10">
            <v>13242.678320000001</v>
          </cell>
          <cell r="AI10">
            <v>13381.124030000001</v>
          </cell>
          <cell r="AJ10">
            <v>13520.68111</v>
          </cell>
          <cell r="AK10">
            <v>13661.840299999998</v>
          </cell>
          <cell r="AL10">
            <v>13803.691440000001</v>
          </cell>
          <cell r="AM10">
            <v>13944.276469999999</v>
          </cell>
          <cell r="AN10">
            <v>14082.801340000002</v>
          </cell>
          <cell r="AO10">
            <v>14218.715590000002</v>
          </cell>
          <cell r="AP10">
            <v>14351.918940000001</v>
          </cell>
          <cell r="AQ10">
            <v>14482.437540000003</v>
          </cell>
          <cell r="AR10">
            <v>14610.4211</v>
          </cell>
          <cell r="AS10">
            <v>14736.24631</v>
          </cell>
          <cell r="AT10">
            <v>14860.320880000001</v>
          </cell>
          <cell r="AU10">
            <v>14983.078860000001</v>
          </cell>
          <cell r="AV10">
            <v>15104.70127</v>
          </cell>
          <cell r="AW10">
            <v>15225.195700000002</v>
          </cell>
          <cell r="AX10">
            <v>15344.62486</v>
          </cell>
          <cell r="AY10">
            <v>15463.089019999998</v>
          </cell>
          <cell r="AZ10">
            <v>15580.68845</v>
          </cell>
          <cell r="BA10">
            <v>15697.50913</v>
          </cell>
          <cell r="BB10">
            <v>15813.626329999999</v>
          </cell>
          <cell r="BC10">
            <v>15929.254489999999</v>
          </cell>
        </row>
      </sheetData>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Efficacy"/>
      <sheetName val="Prices"/>
    </sheetNames>
    <sheetDataSet>
      <sheetData sheetId="0">
        <row r="27">
          <cell r="R27">
            <v>86</v>
          </cell>
          <cell r="U27">
            <v>102</v>
          </cell>
        </row>
      </sheetData>
      <sheetData sheetId="1">
        <row r="21">
          <cell r="U21">
            <v>0.81005788606478368</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ource Data"/>
      <sheetName val="NewSF"/>
      <sheetName val="TotalStockSF"/>
      <sheetName val="Pre2010"/>
      <sheetName val="Employment"/>
      <sheetName val="Population"/>
      <sheetName val="Share of Western Montana"/>
      <sheetName val="Mapping buildings to NAICS code"/>
      <sheetName val="Commercial Forecast 6P"/>
    </sheetNames>
    <sheetDataSet>
      <sheetData sheetId="0"/>
      <sheetData sheetId="1"/>
      <sheetData sheetId="2"/>
      <sheetData sheetId="3">
        <row r="81">
          <cell r="H81">
            <v>269.07792974459096</v>
          </cell>
        </row>
        <row r="82">
          <cell r="H82">
            <v>121.23063380795446</v>
          </cell>
        </row>
        <row r="83">
          <cell r="H83">
            <v>142.24850014370574</v>
          </cell>
        </row>
        <row r="84">
          <cell r="H84">
            <v>127.16304575990401</v>
          </cell>
        </row>
        <row r="85">
          <cell r="H85">
            <v>234.86802586033861</v>
          </cell>
        </row>
        <row r="86">
          <cell r="H86">
            <v>58.717006465084651</v>
          </cell>
        </row>
        <row r="87">
          <cell r="H87">
            <v>113.3659655225017</v>
          </cell>
        </row>
        <row r="88">
          <cell r="H88">
            <v>248.20487531223819</v>
          </cell>
        </row>
        <row r="89">
          <cell r="H89">
            <v>123.39130974327722</v>
          </cell>
        </row>
        <row r="90">
          <cell r="H90">
            <v>363.46665980805562</v>
          </cell>
        </row>
        <row r="91">
          <cell r="H91">
            <v>52.331326172910508</v>
          </cell>
        </row>
        <row r="92">
          <cell r="H92">
            <v>21.624127505090684</v>
          </cell>
        </row>
        <row r="93">
          <cell r="H93">
            <v>47.425770061315774</v>
          </cell>
        </row>
        <row r="94">
          <cell r="H94">
            <v>160.68567596361959</v>
          </cell>
        </row>
        <row r="95">
          <cell r="H95">
            <v>68.062840438230054</v>
          </cell>
        </row>
        <row r="96">
          <cell r="H96">
            <v>146.85862898462784</v>
          </cell>
        </row>
        <row r="97">
          <cell r="H97">
            <v>217.83535520887148</v>
          </cell>
        </row>
        <row r="98">
          <cell r="H98">
            <v>431.53243752750507</v>
          </cell>
        </row>
      </sheetData>
      <sheetData sheetId="4"/>
      <sheetData sheetId="5"/>
      <sheetData sheetId="6"/>
      <sheetData sheetId="7"/>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3" Type="http://schemas.openxmlformats.org/officeDocument/2006/relationships/hyperlink" Target="Seattle%20LED%20Purchases%20history%20to%20date%208_2014.xlsx" TargetMode="External"/><Relationship Id="rId2" Type="http://schemas.openxmlformats.org/officeDocument/2006/relationships/hyperlink" Target="Portland%20Pricing%202014.pdf" TargetMode="External"/><Relationship Id="rId1" Type="http://schemas.openxmlformats.org/officeDocument/2006/relationships/hyperlink" Target="Seattle%20LED%20Purchases%20history%20to%20date%208_2014.xlsx" TargetMode="Externa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2" Type="http://schemas.openxmlformats.org/officeDocument/2006/relationships/oleObject" Target="../embeddings/Microsoft_Office_Word_97_-_2003_Document1.doc"/><Relationship Id="rId1" Type="http://schemas.openxmlformats.org/officeDocument/2006/relationships/vmlDrawing" Target="../drawings/vmlDrawing8.vml"/></Relationships>
</file>

<file path=xl/worksheets/_rels/sheet18.xml.rels><?xml version="1.0" encoding="UTF-8" standalone="yes"?>
<Relationships xmlns="http://schemas.openxmlformats.org/package/2006/relationships"><Relationship Id="rId2" Type="http://schemas.openxmlformats.org/officeDocument/2006/relationships/hyperlink" Target="Data/PNL%20PNW%20Responses%20to%20Inventory%20Survey.xlsx" TargetMode="External"/><Relationship Id="rId1" Type="http://schemas.openxmlformats.org/officeDocument/2006/relationships/hyperlink" Target="../../Codes%20and%20Standards/Impact%20Estimates/Federal%20Standards%20Estimates/Navigant%202014%20Final%20Deliverables/BPA%20Lighting%20Market%20Model%20FINAL_72014.xlsm"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CG/Main/Plan%206/Commercial/Coml%20Assess%206P/Measure%20Data/Lighting/SSL/nichefinalreport_october2008-revised.pdf" TargetMode="External"/><Relationship Id="rId7" Type="http://schemas.openxmlformats.org/officeDocument/2006/relationships/comments" Target="../comments8.xml"/><Relationship Id="rId2" Type="http://schemas.openxmlformats.org/officeDocument/2006/relationships/hyperlink" Target="../../../../CG/Main/Plan%206/Commercial/Coml%20Assess%206P/Measure%20Data/Lighting/SSL/NicheFinalReportSept2008.pdf" TargetMode="External"/><Relationship Id="rId1" Type="http://schemas.openxmlformats.org/officeDocument/2006/relationships/hyperlink" Target="../../../../CG/Main/Plan%206/Data/DOE/hid_energy_savings_report.pdf" TargetMode="External"/><Relationship Id="rId6" Type="http://schemas.openxmlformats.org/officeDocument/2006/relationships/vmlDrawing" Target="../drawings/vmlDrawing9.vm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sheetPr codeName="Sheet4"/>
  <dimension ref="C1:E16"/>
  <sheetViews>
    <sheetView tabSelected="1" zoomScaleNormal="100" zoomScaleSheetLayoutView="90" workbookViewId="0">
      <selection activeCell="D18" sqref="D18"/>
    </sheetView>
  </sheetViews>
  <sheetFormatPr defaultRowHeight="15"/>
  <cols>
    <col min="1" max="1" width="4" style="1" customWidth="1"/>
    <col min="2" max="2" width="4.28515625" style="1" customWidth="1"/>
    <col min="3" max="3" width="28.140625" style="1" customWidth="1"/>
    <col min="4" max="4" width="54" style="1" customWidth="1"/>
    <col min="5" max="5" width="61.42578125" style="1" customWidth="1"/>
    <col min="6" max="16384" width="9.140625" style="1"/>
  </cols>
  <sheetData>
    <row r="1" spans="3:5" ht="15.75" thickBot="1"/>
    <row r="2" spans="3:5" ht="19.5" thickBot="1">
      <c r="C2" s="184" t="s">
        <v>0</v>
      </c>
      <c r="D2" s="39" t="s">
        <v>1017</v>
      </c>
      <c r="E2" s="181"/>
    </row>
    <row r="3" spans="3:5">
      <c r="C3" s="182" t="s">
        <v>1</v>
      </c>
      <c r="D3" s="182" t="s">
        <v>2</v>
      </c>
      <c r="E3" s="182" t="s">
        <v>3</v>
      </c>
    </row>
    <row r="4" spans="3:5" ht="30">
      <c r="C4" s="183" t="s">
        <v>4</v>
      </c>
      <c r="D4" s="107" t="s">
        <v>818</v>
      </c>
      <c r="E4" s="108" t="s">
        <v>1011</v>
      </c>
    </row>
    <row r="5" spans="3:5" ht="30">
      <c r="C5" s="183" t="s">
        <v>5</v>
      </c>
      <c r="D5" s="118" t="s">
        <v>387</v>
      </c>
      <c r="E5" s="108"/>
    </row>
    <row r="6" spans="3:5" ht="60">
      <c r="C6" s="183" t="s">
        <v>6</v>
      </c>
      <c r="D6" s="109" t="s">
        <v>399</v>
      </c>
      <c r="E6" s="109" t="s">
        <v>896</v>
      </c>
    </row>
    <row r="7" spans="3:5" ht="33" customHeight="1">
      <c r="C7" s="183" t="s">
        <v>388</v>
      </c>
      <c r="D7" s="118" t="s">
        <v>401</v>
      </c>
      <c r="E7" s="108"/>
    </row>
    <row r="8" spans="3:5" ht="45">
      <c r="C8" s="183" t="s">
        <v>7</v>
      </c>
      <c r="D8" s="118" t="s">
        <v>1019</v>
      </c>
      <c r="E8" s="109" t="s">
        <v>897</v>
      </c>
    </row>
    <row r="9" spans="3:5" ht="33.75" customHeight="1">
      <c r="C9" s="183" t="s">
        <v>390</v>
      </c>
      <c r="D9" s="118" t="s">
        <v>403</v>
      </c>
      <c r="E9" s="108" t="s">
        <v>1020</v>
      </c>
    </row>
    <row r="10" spans="3:5" ht="26.25" customHeight="1">
      <c r="C10" s="183" t="s">
        <v>391</v>
      </c>
      <c r="D10" s="118" t="s">
        <v>392</v>
      </c>
      <c r="E10" s="108"/>
    </row>
    <row r="11" spans="3:5" ht="30" customHeight="1">
      <c r="C11" s="183" t="s">
        <v>393</v>
      </c>
      <c r="D11" s="118" t="s">
        <v>1012</v>
      </c>
      <c r="E11" s="108" t="s">
        <v>414</v>
      </c>
    </row>
    <row r="12" spans="3:5" ht="31.5" customHeight="1">
      <c r="C12" s="183" t="s">
        <v>394</v>
      </c>
      <c r="D12" s="118" t="s">
        <v>1021</v>
      </c>
      <c r="E12" s="108" t="s">
        <v>404</v>
      </c>
    </row>
    <row r="13" spans="3:5" ht="36" customHeight="1">
      <c r="C13" s="183" t="s">
        <v>395</v>
      </c>
      <c r="D13" s="118" t="s">
        <v>415</v>
      </c>
      <c r="E13" s="108"/>
    </row>
    <row r="14" spans="3:5" ht="30">
      <c r="C14" s="183" t="s">
        <v>396</v>
      </c>
      <c r="D14" s="118" t="s">
        <v>72</v>
      </c>
      <c r="E14" s="109" t="s">
        <v>402</v>
      </c>
    </row>
    <row r="15" spans="3:5" ht="30">
      <c r="C15" s="183" t="s">
        <v>8</v>
      </c>
      <c r="D15" s="118" t="s">
        <v>1016</v>
      </c>
      <c r="E15" s="119" t="s">
        <v>416</v>
      </c>
    </row>
    <row r="16" spans="3:5" ht="31.5" customHeight="1">
      <c r="C16" s="183" t="s">
        <v>9</v>
      </c>
      <c r="D16" s="118" t="s">
        <v>412</v>
      </c>
      <c r="E16" s="118" t="s">
        <v>413</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codeName="Sheet5"/>
  <dimension ref="A10:AU36"/>
  <sheetViews>
    <sheetView workbookViewId="0">
      <pane xSplit="3" ySplit="12" topLeftCell="D13" activePane="bottomRight" state="frozen"/>
      <selection pane="topRight" activeCell="C1" sqref="C1"/>
      <selection pane="bottomLeft" activeCell="A13" sqref="A13"/>
      <selection pane="bottomRight" activeCell="O41" sqref="O41"/>
    </sheetView>
  </sheetViews>
  <sheetFormatPr defaultRowHeight="12.75"/>
  <cols>
    <col min="1" max="1" width="32.28515625" style="34" customWidth="1"/>
    <col min="2" max="2" width="12.5703125" style="34" customWidth="1"/>
    <col min="3" max="3" width="11.5703125" style="34" customWidth="1"/>
    <col min="4" max="4" width="13.5703125" style="34" customWidth="1"/>
    <col min="5" max="5" width="13.42578125" style="34" customWidth="1"/>
    <col min="6" max="6" width="53.42578125" style="34" customWidth="1"/>
    <col min="7" max="9" width="9.140625" style="34"/>
    <col min="10" max="10" width="10.28515625" style="34" bestFit="1" customWidth="1"/>
    <col min="11" max="12" width="9.140625" style="34"/>
    <col min="13" max="13" width="11.28515625" style="34" customWidth="1"/>
    <col min="14" max="17" width="9.140625" style="34"/>
    <col min="18" max="18" width="9.5703125" style="34" customWidth="1"/>
    <col min="19" max="20" width="9.140625" style="34"/>
    <col min="21" max="22" width="10.28515625" style="34" bestFit="1" customWidth="1"/>
    <col min="23" max="23" width="12" style="34" customWidth="1"/>
    <col min="24" max="25" width="10.28515625" style="34" customWidth="1"/>
    <col min="26" max="26" width="9.42578125" style="34" customWidth="1"/>
    <col min="27" max="27" width="11.140625" style="34" customWidth="1"/>
    <col min="28" max="28" width="10.85546875" style="34" customWidth="1"/>
    <col min="29" max="29" width="10" style="34" customWidth="1"/>
    <col min="30" max="36" width="9.140625" style="34"/>
    <col min="37" max="37" width="9.7109375" style="34" customWidth="1"/>
    <col min="38" max="40" width="9.140625" style="34"/>
    <col min="41" max="41" width="13" style="34" customWidth="1"/>
    <col min="42" max="42" width="13.28515625" style="34" customWidth="1"/>
    <col min="43" max="43" width="11.85546875" style="34" customWidth="1"/>
    <col min="44" max="44" width="12.28515625" style="34" customWidth="1"/>
    <col min="45" max="45" width="11.5703125" style="34" customWidth="1"/>
    <col min="46" max="16384" width="9.140625" style="34"/>
  </cols>
  <sheetData>
    <row r="10" spans="1:47">
      <c r="A10" s="34">
        <f>COLUMN()</f>
        <v>1</v>
      </c>
      <c r="B10" s="34">
        <f>COLUMN()</f>
        <v>2</v>
      </c>
      <c r="C10" s="34">
        <f>COLUMN()</f>
        <v>3</v>
      </c>
      <c r="D10" s="34">
        <f>COLUMN()</f>
        <v>4</v>
      </c>
      <c r="E10" s="34">
        <f>COLUMN()</f>
        <v>5</v>
      </c>
      <c r="F10" s="34">
        <f>COLUMN()</f>
        <v>6</v>
      </c>
      <c r="G10" s="34">
        <f>COLUMN()</f>
        <v>7</v>
      </c>
      <c r="H10" s="34">
        <f>COLUMN()</f>
        <v>8</v>
      </c>
      <c r="I10" s="34">
        <f>COLUMN()</f>
        <v>9</v>
      </c>
      <c r="J10" s="34">
        <f>COLUMN()</f>
        <v>10</v>
      </c>
      <c r="K10" s="34">
        <f>COLUMN()</f>
        <v>11</v>
      </c>
      <c r="L10" s="34">
        <f>COLUMN()</f>
        <v>12</v>
      </c>
      <c r="M10" s="34">
        <f>COLUMN()</f>
        <v>13</v>
      </c>
      <c r="N10" s="34">
        <f>COLUMN()</f>
        <v>14</v>
      </c>
      <c r="O10" s="34">
        <f>COLUMN()</f>
        <v>15</v>
      </c>
      <c r="P10" s="34">
        <f>COLUMN()</f>
        <v>16</v>
      </c>
      <c r="Q10" s="34">
        <f>COLUMN()</f>
        <v>17</v>
      </c>
      <c r="R10" s="34">
        <f>COLUMN()</f>
        <v>18</v>
      </c>
      <c r="S10" s="34">
        <f>COLUMN()</f>
        <v>19</v>
      </c>
      <c r="T10" s="34">
        <f>COLUMN()</f>
        <v>20</v>
      </c>
      <c r="U10" s="34">
        <f>COLUMN()</f>
        <v>21</v>
      </c>
      <c r="V10" s="34">
        <f>COLUMN()</f>
        <v>22</v>
      </c>
      <c r="W10" s="34">
        <f>COLUMN()</f>
        <v>23</v>
      </c>
      <c r="X10" s="34">
        <f>COLUMN()</f>
        <v>24</v>
      </c>
      <c r="Y10" s="34">
        <f>COLUMN()</f>
        <v>25</v>
      </c>
      <c r="Z10" s="34">
        <f>COLUMN()</f>
        <v>26</v>
      </c>
      <c r="AA10" s="34">
        <f>COLUMN()</f>
        <v>27</v>
      </c>
      <c r="AB10" s="34">
        <f>COLUMN()</f>
        <v>28</v>
      </c>
      <c r="AC10" s="34">
        <f>COLUMN()</f>
        <v>29</v>
      </c>
      <c r="AD10" s="34">
        <f>COLUMN()</f>
        <v>30</v>
      </c>
      <c r="AE10" s="34">
        <f>COLUMN()</f>
        <v>31</v>
      </c>
      <c r="AF10" s="34">
        <f>COLUMN()</f>
        <v>32</v>
      </c>
      <c r="AG10" s="34">
        <f>COLUMN()</f>
        <v>33</v>
      </c>
      <c r="AH10" s="34">
        <f>COLUMN()</f>
        <v>34</v>
      </c>
      <c r="AI10" s="34">
        <f>COLUMN()</f>
        <v>35</v>
      </c>
      <c r="AJ10" s="34">
        <f>COLUMN()</f>
        <v>36</v>
      </c>
      <c r="AK10" s="34">
        <f>COLUMN()</f>
        <v>37</v>
      </c>
      <c r="AL10" s="34">
        <f>COLUMN()</f>
        <v>38</v>
      </c>
      <c r="AM10" s="34">
        <f>COLUMN()</f>
        <v>39</v>
      </c>
      <c r="AN10" s="34">
        <f>COLUMN()</f>
        <v>40</v>
      </c>
      <c r="AO10" s="34">
        <f>COLUMN()</f>
        <v>41</v>
      </c>
      <c r="AP10" s="34">
        <f>COLUMN()</f>
        <v>42</v>
      </c>
      <c r="AQ10" s="34">
        <f>COLUMN()</f>
        <v>43</v>
      </c>
      <c r="AR10" s="34">
        <f>COLUMN()</f>
        <v>44</v>
      </c>
      <c r="AS10" s="34">
        <f>COLUMN()</f>
        <v>45</v>
      </c>
      <c r="AT10" s="34">
        <f>COLUMN()</f>
        <v>46</v>
      </c>
      <c r="AU10" s="34">
        <f>COLUMN()</f>
        <v>47</v>
      </c>
    </row>
    <row r="11" spans="1:47">
      <c r="F11" s="34">
        <v>1</v>
      </c>
      <c r="G11" s="34">
        <v>2</v>
      </c>
      <c r="H11" s="34">
        <v>3</v>
      </c>
      <c r="I11" s="34">
        <v>4</v>
      </c>
      <c r="J11" s="34">
        <v>5</v>
      </c>
      <c r="K11" s="34">
        <v>6</v>
      </c>
      <c r="L11" s="34">
        <v>7</v>
      </c>
      <c r="M11" s="34">
        <v>8</v>
      </c>
      <c r="N11" s="34">
        <v>9</v>
      </c>
      <c r="O11" s="34">
        <v>10</v>
      </c>
      <c r="P11" s="34">
        <v>11</v>
      </c>
      <c r="Q11" s="34">
        <v>12</v>
      </c>
      <c r="R11" s="34">
        <v>13</v>
      </c>
      <c r="S11" s="34">
        <v>14</v>
      </c>
      <c r="T11" s="34">
        <v>15</v>
      </c>
      <c r="U11" s="34">
        <v>16</v>
      </c>
      <c r="V11" s="34">
        <v>17</v>
      </c>
      <c r="W11" s="34">
        <v>18</v>
      </c>
      <c r="X11" s="34">
        <v>19</v>
      </c>
      <c r="Y11" s="34">
        <v>20</v>
      </c>
      <c r="Z11" s="34">
        <v>21</v>
      </c>
      <c r="AA11" s="34">
        <v>22</v>
      </c>
      <c r="AB11" s="34">
        <v>23</v>
      </c>
      <c r="AC11" s="34">
        <v>24</v>
      </c>
      <c r="AD11" s="34">
        <v>25</v>
      </c>
      <c r="AE11" s="34">
        <v>26</v>
      </c>
      <c r="AF11" s="34">
        <v>27</v>
      </c>
      <c r="AG11" s="34">
        <v>28</v>
      </c>
      <c r="AH11" s="34">
        <v>29</v>
      </c>
      <c r="AI11" s="34">
        <v>30</v>
      </c>
      <c r="AJ11" s="34">
        <v>31</v>
      </c>
      <c r="AK11" s="34">
        <v>32</v>
      </c>
      <c r="AL11" s="34">
        <v>33</v>
      </c>
      <c r="AM11" s="34">
        <v>34</v>
      </c>
      <c r="AN11" s="34">
        <v>35</v>
      </c>
      <c r="AO11" s="34">
        <v>36</v>
      </c>
      <c r="AP11" s="34">
        <v>37</v>
      </c>
      <c r="AQ11" s="34">
        <v>38</v>
      </c>
      <c r="AR11" s="34">
        <v>39</v>
      </c>
      <c r="AS11" s="34">
        <v>40</v>
      </c>
      <c r="AT11" s="34">
        <v>41</v>
      </c>
      <c r="AU11" s="34">
        <v>42</v>
      </c>
    </row>
    <row r="12" spans="1:47" ht="76.5">
      <c r="A12" s="341" t="s">
        <v>523</v>
      </c>
      <c r="B12" s="341" t="s">
        <v>39</v>
      </c>
      <c r="C12" s="341" t="s">
        <v>40</v>
      </c>
      <c r="D12" s="341" t="s">
        <v>41</v>
      </c>
      <c r="E12" s="341" t="s">
        <v>38</v>
      </c>
      <c r="F12" s="341" t="s">
        <v>19</v>
      </c>
      <c r="G12" s="341" t="s">
        <v>20</v>
      </c>
      <c r="H12" s="341" t="s">
        <v>22</v>
      </c>
      <c r="I12" s="341" t="s">
        <v>42</v>
      </c>
      <c r="J12" s="341" t="s">
        <v>43</v>
      </c>
      <c r="K12" s="341" t="s">
        <v>44</v>
      </c>
      <c r="L12" s="341" t="s">
        <v>8</v>
      </c>
      <c r="M12" s="341" t="s">
        <v>45</v>
      </c>
      <c r="N12" s="341" t="s">
        <v>46</v>
      </c>
      <c r="O12" s="341" t="s">
        <v>47</v>
      </c>
      <c r="P12" s="341" t="s">
        <v>28</v>
      </c>
      <c r="Q12" s="341" t="s">
        <v>29</v>
      </c>
      <c r="R12" s="341" t="s">
        <v>30</v>
      </c>
      <c r="S12" s="341" t="s">
        <v>31</v>
      </c>
      <c r="U12" s="341" t="s">
        <v>42</v>
      </c>
      <c r="V12" s="341" t="s">
        <v>43</v>
      </c>
      <c r="W12" s="341" t="s">
        <v>48</v>
      </c>
      <c r="X12" s="341" t="s">
        <v>49</v>
      </c>
      <c r="Y12" s="341" t="s">
        <v>50</v>
      </c>
      <c r="Z12" s="341" t="s">
        <v>51</v>
      </c>
      <c r="AA12" s="341" t="s">
        <v>52</v>
      </c>
      <c r="AB12" s="341" t="s">
        <v>53</v>
      </c>
      <c r="AC12" s="341" t="s">
        <v>54</v>
      </c>
      <c r="AD12" s="341" t="s">
        <v>55</v>
      </c>
      <c r="AE12" s="341" t="s">
        <v>56</v>
      </c>
      <c r="AF12" s="341" t="s">
        <v>57</v>
      </c>
      <c r="AG12" s="341" t="s">
        <v>58</v>
      </c>
      <c r="AH12" s="341" t="s">
        <v>59</v>
      </c>
      <c r="AI12" s="342" t="s">
        <v>60</v>
      </c>
      <c r="AJ12" s="341" t="s">
        <v>61</v>
      </c>
      <c r="AK12" s="341" t="s">
        <v>62</v>
      </c>
      <c r="AL12" s="341" t="s">
        <v>63</v>
      </c>
      <c r="AM12" s="341" t="s">
        <v>64</v>
      </c>
      <c r="AN12" s="342" t="s">
        <v>65</v>
      </c>
      <c r="AO12" s="343" t="s">
        <v>675</v>
      </c>
      <c r="AP12" s="341" t="s">
        <v>66</v>
      </c>
      <c r="AQ12" s="341" t="s">
        <v>67</v>
      </c>
      <c r="AR12" s="341" t="s">
        <v>68</v>
      </c>
      <c r="AS12" s="341" t="s">
        <v>69</v>
      </c>
      <c r="AT12" s="344"/>
      <c r="AU12" s="341" t="s">
        <v>70</v>
      </c>
    </row>
    <row r="13" spans="1:47">
      <c r="A13" s="34" t="s">
        <v>664</v>
      </c>
      <c r="B13" s="34" t="str">
        <f>'Luminaires 7P'!A7</f>
        <v>HPS 100W</v>
      </c>
      <c r="C13" s="34" t="str">
        <f>'Luminaires 7P'!B19</f>
        <v>LED 42W</v>
      </c>
      <c r="D13" s="34" t="s">
        <v>72</v>
      </c>
      <c r="E13" s="34" t="s">
        <v>37</v>
      </c>
      <c r="F13" s="34" t="str">
        <f>CONCATENATE(D13," - ",B13," - ",AJ13," Relamp -"," to ",C13," - ",E13)</f>
        <v>Streetlight - HPS 100W - Group Relamp - to LED 42W - New</v>
      </c>
      <c r="G13" s="40">
        <f>'Luminaires 7P'!AH19</f>
        <v>339.69999999999993</v>
      </c>
      <c r="H13" s="41">
        <f>W13</f>
        <v>-8.5918959509302795</v>
      </c>
      <c r="I13" s="42">
        <f>'Luminaires 7P'!P7</f>
        <v>24000</v>
      </c>
      <c r="J13" s="42">
        <f>'Luminaires 7P'!P19</f>
        <v>70000</v>
      </c>
      <c r="K13" s="34">
        <v>4300</v>
      </c>
      <c r="L13" s="40">
        <f t="shared" ref="L13" si="0">J13/K13</f>
        <v>16.279069767441861</v>
      </c>
      <c r="M13" s="40"/>
      <c r="N13" s="41">
        <f>-(AL13+AM13)</f>
        <v>-77</v>
      </c>
      <c r="O13" s="43">
        <v>5</v>
      </c>
      <c r="U13" s="33">
        <f>'Luminaires 7P'!P7</f>
        <v>24000</v>
      </c>
      <c r="V13" s="33">
        <f>'Luminaires 7P'!P19</f>
        <v>70000</v>
      </c>
      <c r="W13" s="41">
        <f t="shared" ref="W13" si="1">AA13-AB13-Z13+X13</f>
        <v>-8.5918959509302795</v>
      </c>
      <c r="X13" s="44">
        <f>Y13*'Luminaires 7P'!$D$4</f>
        <v>0</v>
      </c>
      <c r="Y13" s="34">
        <v>0</v>
      </c>
      <c r="Z13" s="44"/>
      <c r="AA13" s="44">
        <f>'Luminaires 7P'!N19</f>
        <v>113.40810404906972</v>
      </c>
      <c r="AB13" s="44">
        <f>'Luminaires 7P'!N7</f>
        <v>122</v>
      </c>
      <c r="AC13" s="45">
        <f>'Luminaires 7P'!F7</f>
        <v>121</v>
      </c>
      <c r="AD13" s="45">
        <f>'Luminaires 7P'!F19</f>
        <v>35.411764705882355</v>
      </c>
      <c r="AE13" s="40">
        <f t="shared" ref="AE13:AE36" si="2">AC13-AD13</f>
        <v>85.588235294117652</v>
      </c>
      <c r="AF13" s="46">
        <f t="shared" ref="AF13:AF24" si="3">AA13/AD13</f>
        <v>3.2025544332793774</v>
      </c>
      <c r="AG13" s="46">
        <f t="shared" ref="AG13:AG24" si="4">AA13/AE13</f>
        <v>1.3250431400922236</v>
      </c>
      <c r="AH13" s="47">
        <f t="shared" ref="AH13:AH24" si="5">1-(AD13/AC13)</f>
        <v>0.70734078755469132</v>
      </c>
      <c r="AJ13" s="34" t="s">
        <v>73</v>
      </c>
      <c r="AK13" s="34">
        <v>0.5</v>
      </c>
      <c r="AL13" s="44">
        <f>AK13*'Luminaires 7P'!$D$4</f>
        <v>65</v>
      </c>
      <c r="AM13" s="44">
        <f>'Luminaires 7P'!Q7</f>
        <v>12</v>
      </c>
      <c r="AO13" s="49">
        <f>AR13*AS13</f>
        <v>0.25</v>
      </c>
      <c r="AP13" s="48">
        <f>AQ13*AR13*AS13</f>
        <v>0.13500000000000001</v>
      </c>
      <c r="AQ13" s="269">
        <f t="shared" ref="AQ13:AQ24" si="6">VLOOKUP(A13,WattClass,2,FALSE)</f>
        <v>0.54</v>
      </c>
      <c r="AR13" s="49">
        <v>0.5</v>
      </c>
      <c r="AS13" s="49">
        <v>0.5</v>
      </c>
      <c r="AU13" s="239">
        <f>AA13/AE13</f>
        <v>1.3250431400922236</v>
      </c>
    </row>
    <row r="14" spans="1:47">
      <c r="A14" s="34" t="s">
        <v>664</v>
      </c>
      <c r="B14" s="34" t="str">
        <f>'Luminaires 7P'!A8</f>
        <v>HPS 100W</v>
      </c>
      <c r="C14" s="34" t="str">
        <f>'Luminaires 7P'!B20</f>
        <v>LED 42W</v>
      </c>
      <c r="D14" s="34" t="s">
        <v>72</v>
      </c>
      <c r="E14" s="34" t="s">
        <v>37</v>
      </c>
      <c r="F14" s="34" t="str">
        <f t="shared" ref="F14:F36" si="7">CONCATENATE(D14," - ",B14," - ",AJ14," Relamp -"," to ",C14," - ",E14)</f>
        <v>Streetlight - HPS 100W - Tariff Relamp - to LED 42W - New</v>
      </c>
      <c r="G14" s="40">
        <f>'Luminaires 7P'!AH20</f>
        <v>339.69999999999993</v>
      </c>
      <c r="H14" s="41">
        <f t="shared" ref="H14:H36" si="8">W14</f>
        <v>-8.5918959509302795</v>
      </c>
      <c r="I14" s="42">
        <f>'Luminaires 7P'!P8</f>
        <v>24000</v>
      </c>
      <c r="J14" s="42">
        <f>'Luminaires 7P'!P20</f>
        <v>70000</v>
      </c>
      <c r="K14" s="34">
        <v>4300</v>
      </c>
      <c r="L14" s="40">
        <f t="shared" ref="L14:L36" si="9">J14/K14</f>
        <v>16.279069767441861</v>
      </c>
      <c r="M14" s="35">
        <f>-Pricing!$V$25</f>
        <v>-56</v>
      </c>
      <c r="N14" s="41"/>
      <c r="O14" s="43"/>
      <c r="U14" s="33">
        <f>'Luminaires 7P'!P8</f>
        <v>24000</v>
      </c>
      <c r="V14" s="33">
        <f>'Luminaires 7P'!P20</f>
        <v>70000</v>
      </c>
      <c r="W14" s="41">
        <f t="shared" ref="W14:W36" si="10">AA14-AB14-Z14+X14</f>
        <v>-8.5918959509302795</v>
      </c>
      <c r="X14" s="44">
        <f>Y14*'Luminaires 7P'!$D$4</f>
        <v>0</v>
      </c>
      <c r="Y14" s="34">
        <v>0</v>
      </c>
      <c r="Z14" s="44"/>
      <c r="AA14" s="44">
        <f>'Luminaires 7P'!N20</f>
        <v>113.40810404906972</v>
      </c>
      <c r="AB14" s="44">
        <f>'Luminaires 7P'!N8</f>
        <v>122</v>
      </c>
      <c r="AC14" s="45">
        <f>'Luminaires 7P'!F8</f>
        <v>121</v>
      </c>
      <c r="AD14" s="45">
        <f>'Luminaires 7P'!F20</f>
        <v>35.411764705882355</v>
      </c>
      <c r="AE14" s="40">
        <f t="shared" si="2"/>
        <v>85.588235294117652</v>
      </c>
      <c r="AF14" s="46">
        <f t="shared" si="3"/>
        <v>3.2025544332793774</v>
      </c>
      <c r="AG14" s="46">
        <f t="shared" si="4"/>
        <v>1.3250431400922236</v>
      </c>
      <c r="AH14" s="47">
        <f t="shared" si="5"/>
        <v>0.70734078755469132</v>
      </c>
      <c r="AJ14" s="34" t="s">
        <v>74</v>
      </c>
      <c r="AL14" s="44"/>
      <c r="AM14" s="44"/>
      <c r="AO14" s="226">
        <f t="shared" ref="AO14:AO36" si="11">AR14*AS14</f>
        <v>0.25</v>
      </c>
      <c r="AP14" s="48">
        <f t="shared" ref="AP14:AP36" si="12">AQ14*AR14*AS14</f>
        <v>0.13500000000000001</v>
      </c>
      <c r="AQ14" s="269">
        <f t="shared" si="6"/>
        <v>0.54</v>
      </c>
      <c r="AR14" s="49">
        <v>0.5</v>
      </c>
      <c r="AS14" s="49">
        <v>0.5</v>
      </c>
      <c r="AU14" s="239">
        <f t="shared" ref="AU14:AU36" si="13">AA14/AE14</f>
        <v>1.3250431400922236</v>
      </c>
    </row>
    <row r="15" spans="1:47">
      <c r="A15" s="34" t="s">
        <v>664</v>
      </c>
      <c r="B15" s="34" t="str">
        <f>'Luminaires 7P'!A9</f>
        <v>HPS 100W</v>
      </c>
      <c r="C15" s="34" t="str">
        <f>'Luminaires 7P'!B21</f>
        <v>LED 58W</v>
      </c>
      <c r="D15" s="34" t="s">
        <v>72</v>
      </c>
      <c r="E15" s="34" t="s">
        <v>37</v>
      </c>
      <c r="F15" s="34" t="str">
        <f t="shared" si="7"/>
        <v>Streetlight - HPS 100W - Group Relamp - to LED 58W - New</v>
      </c>
      <c r="G15" s="40">
        <f>'Luminaires 7P'!AH21</f>
        <v>270.89999999999998</v>
      </c>
      <c r="H15" s="41">
        <f t="shared" si="8"/>
        <v>-8.5918959509302795</v>
      </c>
      <c r="I15" s="42">
        <f>'Luminaires 7P'!P9</f>
        <v>24000</v>
      </c>
      <c r="J15" s="42">
        <f>'Luminaires 7P'!P21</f>
        <v>70000</v>
      </c>
      <c r="K15" s="34">
        <v>4300</v>
      </c>
      <c r="L15" s="40">
        <f t="shared" si="9"/>
        <v>16.279069767441861</v>
      </c>
      <c r="M15" s="40"/>
      <c r="N15" s="41">
        <f t="shared" ref="N15" si="14">-(AL15+AM15)</f>
        <v>-77</v>
      </c>
      <c r="O15" s="43">
        <v>5</v>
      </c>
      <c r="U15" s="33">
        <f>'Luminaires 7P'!P9</f>
        <v>24000</v>
      </c>
      <c r="V15" s="33">
        <f>'Luminaires 7P'!P21</f>
        <v>70000</v>
      </c>
      <c r="W15" s="41">
        <f t="shared" si="10"/>
        <v>-8.5918959509302795</v>
      </c>
      <c r="X15" s="44">
        <f>Y15*'Luminaires 7P'!$D$4</f>
        <v>0</v>
      </c>
      <c r="Y15" s="34">
        <v>0</v>
      </c>
      <c r="Z15" s="44"/>
      <c r="AA15" s="44">
        <f>'Luminaires 7P'!N21</f>
        <v>113.40810404906972</v>
      </c>
      <c r="AB15" s="44">
        <f>'Luminaires 7P'!N9</f>
        <v>122</v>
      </c>
      <c r="AC15" s="45">
        <f>'Luminaires 7P'!F9</f>
        <v>121</v>
      </c>
      <c r="AD15" s="45">
        <f>'Luminaires 7P'!F21</f>
        <v>48.901960784313722</v>
      </c>
      <c r="AE15" s="40">
        <f t="shared" si="2"/>
        <v>72.098039215686271</v>
      </c>
      <c r="AF15" s="46">
        <f t="shared" si="3"/>
        <v>2.3190911413402389</v>
      </c>
      <c r="AG15" s="46">
        <f t="shared" si="4"/>
        <v>1.5729707115862268</v>
      </c>
      <c r="AH15" s="47">
        <f t="shared" si="5"/>
        <v>0.59585156376600223</v>
      </c>
      <c r="AJ15" s="34" t="s">
        <v>73</v>
      </c>
      <c r="AK15" s="34">
        <v>0.5</v>
      </c>
      <c r="AL15" s="44">
        <f>AK15*'Luminaires 7P'!$D$4</f>
        <v>65</v>
      </c>
      <c r="AM15" s="44">
        <f>'Luminaires 7P'!Q9</f>
        <v>12</v>
      </c>
      <c r="AO15" s="226">
        <f t="shared" si="11"/>
        <v>0.25</v>
      </c>
      <c r="AP15" s="48">
        <f t="shared" si="12"/>
        <v>0.13500000000000001</v>
      </c>
      <c r="AQ15" s="269">
        <f t="shared" si="6"/>
        <v>0.54</v>
      </c>
      <c r="AR15" s="49">
        <v>0.5</v>
      </c>
      <c r="AS15" s="49">
        <v>0.5</v>
      </c>
      <c r="AU15" s="239">
        <f t="shared" si="13"/>
        <v>1.5729707115862268</v>
      </c>
    </row>
    <row r="16" spans="1:47">
      <c r="A16" s="34" t="s">
        <v>664</v>
      </c>
      <c r="B16" s="34" t="str">
        <f>'Luminaires 7P'!A10</f>
        <v>HPS 100W</v>
      </c>
      <c r="C16" s="34" t="str">
        <f>'Luminaires 7P'!B22</f>
        <v>LED 58W</v>
      </c>
      <c r="D16" s="34" t="s">
        <v>72</v>
      </c>
      <c r="E16" s="34" t="s">
        <v>37</v>
      </c>
      <c r="F16" s="34" t="str">
        <f t="shared" si="7"/>
        <v>Streetlight - HPS 100W - Tariff Relamp - to LED 58W - New</v>
      </c>
      <c r="G16" s="40">
        <f>'Luminaires 7P'!AH22</f>
        <v>270.89999999999998</v>
      </c>
      <c r="H16" s="41">
        <f t="shared" si="8"/>
        <v>-8.5918959509302795</v>
      </c>
      <c r="I16" s="42">
        <f>'Luminaires 7P'!P10</f>
        <v>24000</v>
      </c>
      <c r="J16" s="42">
        <f>'Luminaires 7P'!P22</f>
        <v>70000</v>
      </c>
      <c r="K16" s="34">
        <v>4300</v>
      </c>
      <c r="L16" s="40">
        <f t="shared" si="9"/>
        <v>16.279069767441861</v>
      </c>
      <c r="M16" s="35">
        <f>-Pricing!$V$25</f>
        <v>-56</v>
      </c>
      <c r="N16" s="41"/>
      <c r="O16" s="43"/>
      <c r="U16" s="33">
        <f>'Luminaires 7P'!P10</f>
        <v>24000</v>
      </c>
      <c r="V16" s="33">
        <f>'Luminaires 7P'!P22</f>
        <v>70000</v>
      </c>
      <c r="W16" s="41">
        <f t="shared" si="10"/>
        <v>-8.5918959509302795</v>
      </c>
      <c r="X16" s="44">
        <f>Y16*'Luminaires 7P'!$D$4</f>
        <v>0</v>
      </c>
      <c r="Y16" s="34">
        <v>0</v>
      </c>
      <c r="Z16" s="44"/>
      <c r="AA16" s="44">
        <f>'Luminaires 7P'!N22</f>
        <v>113.40810404906972</v>
      </c>
      <c r="AB16" s="44">
        <f>'Luminaires 7P'!N10</f>
        <v>122</v>
      </c>
      <c r="AC16" s="45">
        <f>'Luminaires 7P'!F10</f>
        <v>121</v>
      </c>
      <c r="AD16" s="45">
        <f>'Luminaires 7P'!F22</f>
        <v>48.901960784313722</v>
      </c>
      <c r="AE16" s="40">
        <f t="shared" si="2"/>
        <v>72.098039215686271</v>
      </c>
      <c r="AF16" s="46">
        <f t="shared" si="3"/>
        <v>2.3190911413402389</v>
      </c>
      <c r="AG16" s="46">
        <f t="shared" si="4"/>
        <v>1.5729707115862268</v>
      </c>
      <c r="AH16" s="47">
        <f t="shared" si="5"/>
        <v>0.59585156376600223</v>
      </c>
      <c r="AJ16" s="34" t="s">
        <v>74</v>
      </c>
      <c r="AL16" s="44"/>
      <c r="AM16" s="44"/>
      <c r="AO16" s="226">
        <f t="shared" si="11"/>
        <v>0.25</v>
      </c>
      <c r="AP16" s="48">
        <f t="shared" si="12"/>
        <v>0.13500000000000001</v>
      </c>
      <c r="AQ16" s="269">
        <f t="shared" si="6"/>
        <v>0.54</v>
      </c>
      <c r="AR16" s="49">
        <v>0.5</v>
      </c>
      <c r="AS16" s="49">
        <v>0.5</v>
      </c>
      <c r="AU16" s="239">
        <f t="shared" si="13"/>
        <v>1.5729707115862268</v>
      </c>
    </row>
    <row r="17" spans="1:47">
      <c r="A17" s="34" t="s">
        <v>665</v>
      </c>
      <c r="B17" s="34" t="str">
        <f>'Luminaires 7P'!A11</f>
        <v>MH 200W</v>
      </c>
      <c r="C17" s="34" t="str">
        <f>'Luminaires 7P'!B23</f>
        <v>LED 135W</v>
      </c>
      <c r="D17" s="34" t="s">
        <v>72</v>
      </c>
      <c r="E17" s="34" t="s">
        <v>37</v>
      </c>
      <c r="F17" s="34" t="str">
        <f t="shared" si="7"/>
        <v>Streetlight - MH 200W - Group Relamp - to LED 135W - New</v>
      </c>
      <c r="G17" s="40">
        <f>'Luminaires 7P'!AH23</f>
        <v>408.5</v>
      </c>
      <c r="H17" s="41">
        <f t="shared" si="8"/>
        <v>2.0115772129567233</v>
      </c>
      <c r="I17" s="42">
        <f>'Luminaires 7P'!P11</f>
        <v>24000</v>
      </c>
      <c r="J17" s="42">
        <f>'Luminaires 7P'!P23</f>
        <v>70000</v>
      </c>
      <c r="K17" s="34">
        <v>4300</v>
      </c>
      <c r="L17" s="40">
        <f t="shared" si="9"/>
        <v>16.279069767441861</v>
      </c>
      <c r="M17" s="40"/>
      <c r="N17" s="41">
        <f t="shared" ref="N17" si="15">-(AL17+AM17)</f>
        <v>-80</v>
      </c>
      <c r="O17" s="43">
        <v>5</v>
      </c>
      <c r="U17" s="33">
        <f>'Luminaires 7P'!P11</f>
        <v>24000</v>
      </c>
      <c r="V17" s="33">
        <f>'Luminaires 7P'!P23</f>
        <v>70000</v>
      </c>
      <c r="W17" s="41">
        <f t="shared" si="10"/>
        <v>2.0115772129567233</v>
      </c>
      <c r="X17" s="44">
        <f>Y17*'Luminaires 7P'!$D$4</f>
        <v>0</v>
      </c>
      <c r="Y17" s="34">
        <v>0</v>
      </c>
      <c r="Z17" s="41"/>
      <c r="AA17" s="44">
        <f>'Luminaires 7P'!N23</f>
        <v>162.01157721295672</v>
      </c>
      <c r="AB17" s="44">
        <f>'Luminaires 7P'!N11</f>
        <v>160</v>
      </c>
      <c r="AC17" s="45">
        <f>'Luminaires 7P'!F11</f>
        <v>230</v>
      </c>
      <c r="AD17" s="45">
        <f>'Luminaires 7P'!F23</f>
        <v>113.82352941176471</v>
      </c>
      <c r="AE17" s="40">
        <f t="shared" si="2"/>
        <v>116.17647058823529</v>
      </c>
      <c r="AF17" s="46">
        <f t="shared" si="3"/>
        <v>1.4233575259019453</v>
      </c>
      <c r="AG17" s="46">
        <f t="shared" si="4"/>
        <v>1.3945300317064631</v>
      </c>
      <c r="AH17" s="47">
        <f t="shared" si="5"/>
        <v>0.50511508951406647</v>
      </c>
      <c r="AJ17" s="34" t="s">
        <v>73</v>
      </c>
      <c r="AK17" s="34">
        <v>0.5</v>
      </c>
      <c r="AL17" s="44">
        <f>AK17*'Luminaires 7P'!$D$4</f>
        <v>65</v>
      </c>
      <c r="AM17" s="44">
        <f>'Luminaires 7P'!Q11</f>
        <v>15</v>
      </c>
      <c r="AO17" s="226">
        <f t="shared" si="11"/>
        <v>0.5</v>
      </c>
      <c r="AP17" s="48">
        <f t="shared" si="12"/>
        <v>6.5500000000000003E-2</v>
      </c>
      <c r="AQ17" s="269">
        <f t="shared" si="6"/>
        <v>0.13100000000000001</v>
      </c>
      <c r="AR17" s="49">
        <v>1</v>
      </c>
      <c r="AS17" s="49">
        <v>0.5</v>
      </c>
      <c r="AU17" s="239">
        <f t="shared" si="13"/>
        <v>1.3945300317064631</v>
      </c>
    </row>
    <row r="18" spans="1:47">
      <c r="A18" s="34" t="s">
        <v>665</v>
      </c>
      <c r="B18" s="34" t="str">
        <f>'Luminaires 7P'!A12</f>
        <v>MH 200W</v>
      </c>
      <c r="C18" s="34" t="str">
        <f>'Luminaires 7P'!B24</f>
        <v>LED 135W</v>
      </c>
      <c r="D18" s="34" t="s">
        <v>72</v>
      </c>
      <c r="E18" s="34" t="s">
        <v>37</v>
      </c>
      <c r="F18" s="34" t="str">
        <f t="shared" si="7"/>
        <v>Streetlight - MH 200W - Tariff Relamp - to LED 135W - New</v>
      </c>
      <c r="G18" s="40">
        <f>'Luminaires 7P'!AH24</f>
        <v>408.5</v>
      </c>
      <c r="H18" s="41">
        <f t="shared" si="8"/>
        <v>2.0115772129567233</v>
      </c>
      <c r="I18" s="42">
        <f>'Luminaires 7P'!P12</f>
        <v>24000</v>
      </c>
      <c r="J18" s="42">
        <f>'Luminaires 7P'!P24</f>
        <v>70000</v>
      </c>
      <c r="K18" s="34">
        <v>4300</v>
      </c>
      <c r="L18" s="40">
        <f t="shared" si="9"/>
        <v>16.279069767441861</v>
      </c>
      <c r="M18" s="35">
        <f>-Pricing!$V$25</f>
        <v>-56</v>
      </c>
      <c r="N18" s="41"/>
      <c r="O18" s="43"/>
      <c r="U18" s="33">
        <f>'Luminaires 7P'!P12</f>
        <v>24000</v>
      </c>
      <c r="V18" s="33">
        <f>'Luminaires 7P'!P24</f>
        <v>70000</v>
      </c>
      <c r="W18" s="41">
        <f t="shared" si="10"/>
        <v>2.0115772129567233</v>
      </c>
      <c r="X18" s="44">
        <f>Y18*'Luminaires 7P'!$D$4</f>
        <v>0</v>
      </c>
      <c r="Y18" s="34">
        <v>0</v>
      </c>
      <c r="Z18" s="41"/>
      <c r="AA18" s="44">
        <f>'Luminaires 7P'!N24</f>
        <v>162.01157721295672</v>
      </c>
      <c r="AB18" s="44">
        <f>'Luminaires 7P'!N12</f>
        <v>160</v>
      </c>
      <c r="AC18" s="45">
        <f>'Luminaires 7P'!F12</f>
        <v>230</v>
      </c>
      <c r="AD18" s="45">
        <f>'Luminaires 7P'!F24</f>
        <v>113.82352941176471</v>
      </c>
      <c r="AE18" s="40">
        <f t="shared" si="2"/>
        <v>116.17647058823529</v>
      </c>
      <c r="AF18" s="46">
        <f t="shared" si="3"/>
        <v>1.4233575259019453</v>
      </c>
      <c r="AG18" s="46">
        <f t="shared" si="4"/>
        <v>1.3945300317064631</v>
      </c>
      <c r="AH18" s="47">
        <f t="shared" si="5"/>
        <v>0.50511508951406647</v>
      </c>
      <c r="AJ18" s="34" t="s">
        <v>74</v>
      </c>
      <c r="AL18" s="44"/>
      <c r="AM18" s="44"/>
      <c r="AO18" s="226">
        <f t="shared" si="11"/>
        <v>0.5</v>
      </c>
      <c r="AP18" s="48">
        <f t="shared" si="12"/>
        <v>6.5500000000000003E-2</v>
      </c>
      <c r="AQ18" s="269">
        <f t="shared" si="6"/>
        <v>0.13100000000000001</v>
      </c>
      <c r="AR18" s="49">
        <v>1</v>
      </c>
      <c r="AS18" s="49">
        <v>0.5</v>
      </c>
      <c r="AU18" s="239">
        <f t="shared" si="13"/>
        <v>1.3945300317064631</v>
      </c>
    </row>
    <row r="19" spans="1:47">
      <c r="A19" s="34" t="s">
        <v>666</v>
      </c>
      <c r="B19" s="34" t="str">
        <f>'Luminaires 7P'!A13</f>
        <v>HPS 250W</v>
      </c>
      <c r="C19" s="34" t="str">
        <f>'Luminaires 7P'!B25</f>
        <v>LED 135W</v>
      </c>
      <c r="D19" s="34" t="s">
        <v>72</v>
      </c>
      <c r="E19" s="34" t="s">
        <v>37</v>
      </c>
      <c r="F19" s="34" t="str">
        <f t="shared" si="7"/>
        <v>Streetlight - HPS 250W - Group Relamp - to LED 135W - New</v>
      </c>
      <c r="G19" s="40">
        <f>'Luminaires 7P'!AH25</f>
        <v>666.5</v>
      </c>
      <c r="H19" s="41">
        <f t="shared" si="8"/>
        <v>2.0115772129567233</v>
      </c>
      <c r="I19" s="42">
        <f>'Luminaires 7P'!P13</f>
        <v>24000</v>
      </c>
      <c r="J19" s="42">
        <f>'Luminaires 7P'!P25</f>
        <v>70000</v>
      </c>
      <c r="K19" s="34">
        <v>4300</v>
      </c>
      <c r="L19" s="40">
        <f t="shared" si="9"/>
        <v>16.279069767441861</v>
      </c>
      <c r="M19" s="40"/>
      <c r="N19" s="41">
        <f t="shared" ref="N19" si="16">-(AL19+AM19)</f>
        <v>-80</v>
      </c>
      <c r="O19" s="43">
        <v>5</v>
      </c>
      <c r="U19" s="33">
        <f>'Luminaires 7P'!P13</f>
        <v>24000</v>
      </c>
      <c r="V19" s="33">
        <f>'Luminaires 7P'!P25</f>
        <v>70000</v>
      </c>
      <c r="W19" s="41">
        <f t="shared" si="10"/>
        <v>2.0115772129567233</v>
      </c>
      <c r="X19" s="44">
        <f>Y19*'Luminaires 7P'!$D$4</f>
        <v>0</v>
      </c>
      <c r="Y19" s="34">
        <v>0</v>
      </c>
      <c r="Z19" s="41"/>
      <c r="AA19" s="44">
        <f>'Luminaires 7P'!N25</f>
        <v>162.01157721295672</v>
      </c>
      <c r="AB19" s="44">
        <f>'Luminaires 7P'!N13</f>
        <v>160</v>
      </c>
      <c r="AC19" s="45">
        <f>'Luminaires 7P'!F13</f>
        <v>290</v>
      </c>
      <c r="AD19" s="45">
        <f>'Luminaires 7P'!F25</f>
        <v>113.82352941176471</v>
      </c>
      <c r="AE19" s="40">
        <f t="shared" si="2"/>
        <v>176.1764705882353</v>
      </c>
      <c r="AF19" s="46">
        <f t="shared" si="3"/>
        <v>1.4233575259019453</v>
      </c>
      <c r="AG19" s="46">
        <f t="shared" si="4"/>
        <v>0.91959826798673261</v>
      </c>
      <c r="AH19" s="47">
        <f t="shared" si="5"/>
        <v>0.60750507099391482</v>
      </c>
      <c r="AJ19" s="34" t="s">
        <v>73</v>
      </c>
      <c r="AK19" s="34">
        <v>0.5</v>
      </c>
      <c r="AL19" s="44">
        <f>AK19*'Luminaires 7P'!$D$4</f>
        <v>65</v>
      </c>
      <c r="AM19" s="44">
        <f>'Luminaires 7P'!Q13</f>
        <v>15</v>
      </c>
      <c r="AO19" s="226">
        <f t="shared" si="11"/>
        <v>0.5</v>
      </c>
      <c r="AP19" s="48">
        <f t="shared" si="12"/>
        <v>7.0000000000000007E-2</v>
      </c>
      <c r="AQ19" s="269">
        <f t="shared" si="6"/>
        <v>0.14000000000000001</v>
      </c>
      <c r="AR19" s="49">
        <v>1</v>
      </c>
      <c r="AS19" s="49">
        <v>0.5</v>
      </c>
      <c r="AU19" s="239">
        <f t="shared" si="13"/>
        <v>0.91959826798673261</v>
      </c>
    </row>
    <row r="20" spans="1:47">
      <c r="A20" s="34" t="s">
        <v>666</v>
      </c>
      <c r="B20" s="34" t="str">
        <f>'Luminaires 7P'!A14</f>
        <v>HPS 250W</v>
      </c>
      <c r="C20" s="34" t="str">
        <f>'Luminaires 7P'!B26</f>
        <v>LED 135W</v>
      </c>
      <c r="D20" s="34" t="s">
        <v>72</v>
      </c>
      <c r="E20" s="34" t="s">
        <v>37</v>
      </c>
      <c r="F20" s="34" t="str">
        <f t="shared" si="7"/>
        <v>Streetlight - HPS 250W - Tariff Relamp - to LED 135W - New</v>
      </c>
      <c r="G20" s="40">
        <f>'Luminaires 7P'!AH26</f>
        <v>666.5</v>
      </c>
      <c r="H20" s="41">
        <f t="shared" si="8"/>
        <v>2.0115772129567233</v>
      </c>
      <c r="I20" s="42">
        <f>'Luminaires 7P'!P14</f>
        <v>24000</v>
      </c>
      <c r="J20" s="42">
        <f>'Luminaires 7P'!P26</f>
        <v>70000</v>
      </c>
      <c r="K20" s="34">
        <v>4300</v>
      </c>
      <c r="L20" s="40">
        <f t="shared" si="9"/>
        <v>16.279069767441861</v>
      </c>
      <c r="M20" s="35">
        <f>-Pricing!$V$25</f>
        <v>-56</v>
      </c>
      <c r="N20" s="41"/>
      <c r="O20" s="43"/>
      <c r="U20" s="33">
        <f>'Luminaires 7P'!P14</f>
        <v>24000</v>
      </c>
      <c r="V20" s="33">
        <f>'Luminaires 7P'!P26</f>
        <v>70000</v>
      </c>
      <c r="W20" s="41">
        <f t="shared" si="10"/>
        <v>2.0115772129567233</v>
      </c>
      <c r="X20" s="44">
        <f>Y20*'Luminaires 7P'!$D$4</f>
        <v>0</v>
      </c>
      <c r="Y20" s="34">
        <v>0</v>
      </c>
      <c r="Z20" s="41"/>
      <c r="AA20" s="44">
        <f>'Luminaires 7P'!N26</f>
        <v>162.01157721295672</v>
      </c>
      <c r="AB20" s="44">
        <f>'Luminaires 7P'!N14</f>
        <v>160</v>
      </c>
      <c r="AC20" s="45">
        <f>'Luminaires 7P'!F14</f>
        <v>290</v>
      </c>
      <c r="AD20" s="45">
        <f>'Luminaires 7P'!F26</f>
        <v>113.82352941176471</v>
      </c>
      <c r="AE20" s="40">
        <f t="shared" si="2"/>
        <v>176.1764705882353</v>
      </c>
      <c r="AF20" s="46">
        <f t="shared" si="3"/>
        <v>1.4233575259019453</v>
      </c>
      <c r="AG20" s="46">
        <f t="shared" si="4"/>
        <v>0.91959826798673261</v>
      </c>
      <c r="AH20" s="47">
        <f t="shared" si="5"/>
        <v>0.60750507099391482</v>
      </c>
      <c r="AJ20" s="34" t="s">
        <v>74</v>
      </c>
      <c r="AL20" s="44"/>
      <c r="AM20" s="44"/>
      <c r="AO20" s="226">
        <f t="shared" si="11"/>
        <v>0.5</v>
      </c>
      <c r="AP20" s="48">
        <f t="shared" si="12"/>
        <v>7.0000000000000007E-2</v>
      </c>
      <c r="AQ20" s="269">
        <f t="shared" si="6"/>
        <v>0.14000000000000001</v>
      </c>
      <c r="AR20" s="49">
        <v>1</v>
      </c>
      <c r="AS20" s="49">
        <v>0.5</v>
      </c>
      <c r="AU20" s="239">
        <f t="shared" si="13"/>
        <v>0.91959826798673261</v>
      </c>
    </row>
    <row r="21" spans="1:47">
      <c r="A21" s="34" t="s">
        <v>667</v>
      </c>
      <c r="B21" s="34" t="str">
        <f>'Luminaires 7P'!A15</f>
        <v>MH 400W</v>
      </c>
      <c r="C21" s="34" t="str">
        <f>'Luminaires 7P'!B27</f>
        <v>LED 180W</v>
      </c>
      <c r="D21" s="34" t="s">
        <v>72</v>
      </c>
      <c r="E21" s="34" t="s">
        <v>37</v>
      </c>
      <c r="F21" s="34" t="str">
        <f t="shared" si="7"/>
        <v>Streetlight - MH 400W - Group Relamp - to LED 180W - New</v>
      </c>
      <c r="G21" s="40">
        <f>'Luminaires 7P'!AH27</f>
        <v>1195.4000000000001</v>
      </c>
      <c r="H21" s="41">
        <f t="shared" si="8"/>
        <v>134.02315442591345</v>
      </c>
      <c r="I21" s="42">
        <f>'Luminaires 7P'!P15</f>
        <v>16000</v>
      </c>
      <c r="J21" s="42">
        <f>'Luminaires 7P'!P27</f>
        <v>70000</v>
      </c>
      <c r="K21" s="34">
        <v>4300</v>
      </c>
      <c r="L21" s="40">
        <f t="shared" si="9"/>
        <v>16.279069767441861</v>
      </c>
      <c r="M21" s="40"/>
      <c r="N21" s="41">
        <f t="shared" ref="N21" si="17">-(AL21+AM21)</f>
        <v>-83</v>
      </c>
      <c r="O21" s="43">
        <v>4</v>
      </c>
      <c r="U21" s="33">
        <f>'Luminaires 7P'!P15</f>
        <v>16000</v>
      </c>
      <c r="V21" s="33">
        <f>'Luminaires 7P'!P27</f>
        <v>70000</v>
      </c>
      <c r="W21" s="41">
        <f t="shared" si="10"/>
        <v>134.02315442591345</v>
      </c>
      <c r="X21" s="44">
        <f>Y21*'Luminaires 7P'!$D$4</f>
        <v>0</v>
      </c>
      <c r="Y21" s="34">
        <v>0</v>
      </c>
      <c r="Z21" s="44"/>
      <c r="AA21" s="44">
        <f>'Luminaires 7P'!N27</f>
        <v>324.02315442591345</v>
      </c>
      <c r="AB21" s="44">
        <f>'Luminaires 7P'!N15</f>
        <v>190</v>
      </c>
      <c r="AC21" s="45">
        <f>'Luminaires 7P'!F15</f>
        <v>458</v>
      </c>
      <c r="AD21" s="45">
        <f>'Luminaires 7P'!F27</f>
        <v>151.76470588235293</v>
      </c>
      <c r="AE21" s="40">
        <f t="shared" si="2"/>
        <v>306.23529411764707</v>
      </c>
      <c r="AF21" s="46">
        <f t="shared" si="3"/>
        <v>2.1350362888529184</v>
      </c>
      <c r="AG21" s="46">
        <f t="shared" si="4"/>
        <v>1.0580855983942621</v>
      </c>
      <c r="AH21" s="47">
        <f t="shared" si="5"/>
        <v>0.66863601335730805</v>
      </c>
      <c r="AJ21" s="34" t="s">
        <v>73</v>
      </c>
      <c r="AK21" s="34">
        <v>0.5</v>
      </c>
      <c r="AL21" s="44">
        <f>AK21*'Luminaires 7P'!$D$4</f>
        <v>65</v>
      </c>
      <c r="AM21" s="44">
        <f>'Luminaires 7P'!Q15</f>
        <v>18</v>
      </c>
      <c r="AO21" s="226">
        <f t="shared" si="11"/>
        <v>0.5</v>
      </c>
      <c r="AP21" s="48">
        <f t="shared" si="12"/>
        <v>8.7499999999999994E-2</v>
      </c>
      <c r="AQ21" s="269">
        <f t="shared" si="6"/>
        <v>0.17499999999999999</v>
      </c>
      <c r="AR21" s="49">
        <v>1</v>
      </c>
      <c r="AS21" s="49">
        <v>0.5</v>
      </c>
      <c r="AU21" s="239">
        <f t="shared" si="13"/>
        <v>1.0580855983942621</v>
      </c>
    </row>
    <row r="22" spans="1:47">
      <c r="A22" s="34" t="s">
        <v>667</v>
      </c>
      <c r="B22" s="34" t="str">
        <f>'Luminaires 7P'!A16</f>
        <v>MH 400W</v>
      </c>
      <c r="C22" s="34" t="str">
        <f>'Luminaires 7P'!B28</f>
        <v>LED 180W</v>
      </c>
      <c r="D22" s="34" t="s">
        <v>72</v>
      </c>
      <c r="E22" s="34" t="s">
        <v>37</v>
      </c>
      <c r="F22" s="34" t="str">
        <f t="shared" si="7"/>
        <v>Streetlight - MH 400W - Tariff Relamp - to LED 180W - New</v>
      </c>
      <c r="G22" s="40">
        <f>'Luminaires 7P'!AH28</f>
        <v>1195.4000000000001</v>
      </c>
      <c r="H22" s="41">
        <f t="shared" si="8"/>
        <v>134.02315442591345</v>
      </c>
      <c r="I22" s="42">
        <f>'Luminaires 7P'!P16</f>
        <v>16000</v>
      </c>
      <c r="J22" s="42">
        <f>'Luminaires 7P'!P28</f>
        <v>70000</v>
      </c>
      <c r="K22" s="34">
        <v>4300</v>
      </c>
      <c r="L22" s="40">
        <f t="shared" si="9"/>
        <v>16.279069767441861</v>
      </c>
      <c r="M22" s="35">
        <f>-Pricing!$V$25</f>
        <v>-56</v>
      </c>
      <c r="N22" s="41"/>
      <c r="O22" s="43"/>
      <c r="U22" s="33">
        <f>'Luminaires 7P'!P16</f>
        <v>16000</v>
      </c>
      <c r="V22" s="33">
        <f>'Luminaires 7P'!P28</f>
        <v>70000</v>
      </c>
      <c r="W22" s="41">
        <f t="shared" si="10"/>
        <v>134.02315442591345</v>
      </c>
      <c r="X22" s="44">
        <f>Y22*'Luminaires 7P'!$D$4</f>
        <v>0</v>
      </c>
      <c r="Y22" s="34">
        <v>0</v>
      </c>
      <c r="Z22" s="44"/>
      <c r="AA22" s="44">
        <f>'Luminaires 7P'!N28</f>
        <v>324.02315442591345</v>
      </c>
      <c r="AB22" s="44">
        <f>'Luminaires 7P'!N16</f>
        <v>190</v>
      </c>
      <c r="AC22" s="45">
        <f>'Luminaires 7P'!F16</f>
        <v>458</v>
      </c>
      <c r="AD22" s="45">
        <f>'Luminaires 7P'!F28</f>
        <v>151.76470588235293</v>
      </c>
      <c r="AE22" s="40">
        <f t="shared" si="2"/>
        <v>306.23529411764707</v>
      </c>
      <c r="AF22" s="46">
        <f t="shared" si="3"/>
        <v>2.1350362888529184</v>
      </c>
      <c r="AG22" s="46">
        <f t="shared" si="4"/>
        <v>1.0580855983942621</v>
      </c>
      <c r="AH22" s="47">
        <f t="shared" si="5"/>
        <v>0.66863601335730805</v>
      </c>
      <c r="AJ22" s="34" t="s">
        <v>74</v>
      </c>
      <c r="AL22" s="44"/>
      <c r="AM22" s="44"/>
      <c r="AO22" s="226">
        <f t="shared" si="11"/>
        <v>0.5</v>
      </c>
      <c r="AP22" s="48">
        <f t="shared" si="12"/>
        <v>8.7499999999999994E-2</v>
      </c>
      <c r="AQ22" s="269">
        <f t="shared" si="6"/>
        <v>0.17499999999999999</v>
      </c>
      <c r="AR22" s="49">
        <v>1</v>
      </c>
      <c r="AS22" s="49">
        <v>0.5</v>
      </c>
      <c r="AU22" s="239">
        <f t="shared" si="13"/>
        <v>1.0580855983942621</v>
      </c>
    </row>
    <row r="23" spans="1:47">
      <c r="A23" s="34" t="s">
        <v>668</v>
      </c>
      <c r="B23" s="34" t="str">
        <f>'Luminaires 7P'!A17</f>
        <v>MH 1000W</v>
      </c>
      <c r="C23" s="34" t="str">
        <f>'Luminaires 7P'!B29</f>
        <v>LED 421W</v>
      </c>
      <c r="D23" s="34" t="s">
        <v>72</v>
      </c>
      <c r="E23" s="34" t="s">
        <v>37</v>
      </c>
      <c r="F23" s="34" t="str">
        <f t="shared" si="7"/>
        <v>Streetlight - MH 1000W - Group Relamp - to LED 421W - New</v>
      </c>
      <c r="G23" s="40">
        <f>'Luminaires 7P'!AH29</f>
        <v>2919.7</v>
      </c>
      <c r="H23" s="41">
        <f t="shared" si="8"/>
        <v>532.0694632777404</v>
      </c>
      <c r="I23" s="42">
        <f>'Luminaires 7P'!P17</f>
        <v>16000</v>
      </c>
      <c r="J23" s="42">
        <f>'Luminaires 7P'!P29</f>
        <v>70000</v>
      </c>
      <c r="K23" s="34">
        <v>4300</v>
      </c>
      <c r="L23" s="40">
        <f t="shared" si="9"/>
        <v>16.279069767441861</v>
      </c>
      <c r="M23" s="40"/>
      <c r="N23" s="41">
        <f t="shared" ref="N23" si="18">-(AL23+AM23)</f>
        <v>-85</v>
      </c>
      <c r="O23" s="43">
        <v>4</v>
      </c>
      <c r="U23" s="33">
        <f>'Luminaires 7P'!P17</f>
        <v>16000</v>
      </c>
      <c r="V23" s="33">
        <f>'Luminaires 7P'!P29</f>
        <v>70000</v>
      </c>
      <c r="W23" s="41">
        <f t="shared" si="10"/>
        <v>532.0694632777404</v>
      </c>
      <c r="X23" s="44">
        <f>Y23*'Luminaires 7P'!$D$4</f>
        <v>0</v>
      </c>
      <c r="Y23" s="34">
        <v>0</v>
      </c>
      <c r="Z23" s="44"/>
      <c r="AA23" s="44">
        <f>'Luminaires 7P'!N29</f>
        <v>972.0694632777404</v>
      </c>
      <c r="AB23" s="44">
        <f>'Luminaires 7P'!N17</f>
        <v>440</v>
      </c>
      <c r="AC23" s="45">
        <f>'Luminaires 7P'!F17</f>
        <v>1100</v>
      </c>
      <c r="AD23" s="45">
        <f>'Luminaires 7P'!F29</f>
        <v>354.96078431372547</v>
      </c>
      <c r="AE23" s="40">
        <f t="shared" si="2"/>
        <v>745.03921568627447</v>
      </c>
      <c r="AF23" s="46">
        <f t="shared" si="3"/>
        <v>2.7385263562483986</v>
      </c>
      <c r="AG23" s="46">
        <f t="shared" si="4"/>
        <v>1.304722547231749</v>
      </c>
      <c r="AH23" s="47">
        <f t="shared" si="5"/>
        <v>0.67730837789661313</v>
      </c>
      <c r="AJ23" s="34" t="s">
        <v>73</v>
      </c>
      <c r="AK23" s="34">
        <v>0.5</v>
      </c>
      <c r="AL23" s="44">
        <f>AK23*'Luminaires 7P'!$D$4</f>
        <v>65</v>
      </c>
      <c r="AM23" s="44">
        <f>'Luminaires 7P'!Q17</f>
        <v>20</v>
      </c>
      <c r="AO23" s="226">
        <f t="shared" si="11"/>
        <v>0.5</v>
      </c>
      <c r="AP23" s="48">
        <f t="shared" si="12"/>
        <v>7.0000000000000001E-3</v>
      </c>
      <c r="AQ23" s="269">
        <f t="shared" si="6"/>
        <v>1.4E-2</v>
      </c>
      <c r="AR23" s="49">
        <v>1</v>
      </c>
      <c r="AS23" s="49">
        <v>0.5</v>
      </c>
      <c r="AU23" s="239">
        <f t="shared" si="13"/>
        <v>1.304722547231749</v>
      </c>
    </row>
    <row r="24" spans="1:47">
      <c r="A24" s="34" t="s">
        <v>668</v>
      </c>
      <c r="B24" s="34" t="str">
        <f>'Luminaires 7P'!A18</f>
        <v>MH 1000W</v>
      </c>
      <c r="C24" s="34" t="str">
        <f>'Luminaires 7P'!B30</f>
        <v>LED 421W</v>
      </c>
      <c r="D24" s="34" t="s">
        <v>72</v>
      </c>
      <c r="E24" s="34" t="s">
        <v>37</v>
      </c>
      <c r="F24" s="34" t="str">
        <f t="shared" si="7"/>
        <v>Streetlight - MH 1000W - Tariff Relamp - to LED 421W - New</v>
      </c>
      <c r="G24" s="40">
        <f>'Luminaires 7P'!AH30</f>
        <v>2919.7</v>
      </c>
      <c r="H24" s="41">
        <f t="shared" si="8"/>
        <v>532.0694632777404</v>
      </c>
      <c r="I24" s="42">
        <f>'Luminaires 7P'!P18</f>
        <v>16000</v>
      </c>
      <c r="J24" s="42">
        <f>'Luminaires 7P'!P30</f>
        <v>70000</v>
      </c>
      <c r="K24" s="34">
        <v>4300</v>
      </c>
      <c r="L24" s="40">
        <f t="shared" si="9"/>
        <v>16.279069767441861</v>
      </c>
      <c r="M24" s="35">
        <f>-Pricing!$V$25</f>
        <v>-56</v>
      </c>
      <c r="N24" s="41"/>
      <c r="O24" s="43"/>
      <c r="U24" s="33">
        <f>'Luminaires 7P'!P18</f>
        <v>16000</v>
      </c>
      <c r="V24" s="33">
        <f>'Luminaires 7P'!P30</f>
        <v>70000</v>
      </c>
      <c r="W24" s="41">
        <f t="shared" si="10"/>
        <v>532.0694632777404</v>
      </c>
      <c r="X24" s="44">
        <f>Y24*'Luminaires 7P'!$D$4</f>
        <v>0</v>
      </c>
      <c r="Y24" s="34">
        <v>0</v>
      </c>
      <c r="Z24" s="44"/>
      <c r="AA24" s="44">
        <f>'Luminaires 7P'!N30</f>
        <v>972.0694632777404</v>
      </c>
      <c r="AB24" s="44">
        <f>'Luminaires 7P'!N18</f>
        <v>440</v>
      </c>
      <c r="AC24" s="45">
        <f>'Luminaires 7P'!F18</f>
        <v>1100</v>
      </c>
      <c r="AD24" s="45">
        <f>'Luminaires 7P'!F30</f>
        <v>354.96078431372547</v>
      </c>
      <c r="AE24" s="40">
        <f t="shared" si="2"/>
        <v>745.03921568627447</v>
      </c>
      <c r="AF24" s="46">
        <f t="shared" si="3"/>
        <v>2.7385263562483986</v>
      </c>
      <c r="AG24" s="46">
        <f t="shared" si="4"/>
        <v>1.304722547231749</v>
      </c>
      <c r="AH24" s="47">
        <f t="shared" si="5"/>
        <v>0.67730837789661313</v>
      </c>
      <c r="AJ24" s="34" t="s">
        <v>74</v>
      </c>
      <c r="AL24" s="44"/>
      <c r="AM24" s="44"/>
      <c r="AO24" s="226">
        <f t="shared" si="11"/>
        <v>0.5</v>
      </c>
      <c r="AP24" s="48">
        <f t="shared" si="12"/>
        <v>7.0000000000000001E-3</v>
      </c>
      <c r="AQ24" s="269">
        <f t="shared" si="6"/>
        <v>1.4E-2</v>
      </c>
      <c r="AR24" s="49">
        <v>1</v>
      </c>
      <c r="AS24" s="49">
        <v>0.5</v>
      </c>
      <c r="AU24" s="239">
        <f t="shared" si="13"/>
        <v>1.304722547231749</v>
      </c>
    </row>
    <row r="25" spans="1:47">
      <c r="A25" s="227" t="s">
        <v>669</v>
      </c>
      <c r="B25" s="227" t="str">
        <f>'Luminaires 7P'!A7</f>
        <v>HPS 100W</v>
      </c>
      <c r="C25" s="227" t="str">
        <f>'Luminaires 7P'!B19</f>
        <v>LED 42W</v>
      </c>
      <c r="D25" s="227" t="s">
        <v>72</v>
      </c>
      <c r="E25" s="227" t="s">
        <v>75</v>
      </c>
      <c r="F25" s="227" t="str">
        <f t="shared" si="7"/>
        <v>Streetlight - HPS 100W - Group Relamp - to LED 42W - NR</v>
      </c>
      <c r="G25" s="228">
        <f>'Luminaires 7P'!AH19</f>
        <v>339.69999999999993</v>
      </c>
      <c r="H25" s="41">
        <f t="shared" si="8"/>
        <v>113.40810404906972</v>
      </c>
      <c r="I25" s="228">
        <f>'Luminaires 7P'!P7</f>
        <v>24000</v>
      </c>
      <c r="J25" s="228">
        <f>'Luminaires 7P'!P19</f>
        <v>70000</v>
      </c>
      <c r="K25" s="227">
        <v>4300</v>
      </c>
      <c r="L25" s="228">
        <f t="shared" si="9"/>
        <v>16.279069767441861</v>
      </c>
      <c r="M25" s="228"/>
      <c r="N25" s="229">
        <f>-(AL25+AM25)</f>
        <v>-77</v>
      </c>
      <c r="O25" s="234">
        <v>5</v>
      </c>
      <c r="P25" s="227"/>
      <c r="Q25" s="227"/>
      <c r="R25" s="227"/>
      <c r="S25" s="227"/>
      <c r="T25" s="227"/>
      <c r="U25" s="237">
        <f>'Luminaires 7P'!P7</f>
        <v>24000</v>
      </c>
      <c r="V25" s="237">
        <f>'Luminaires 7P'!P19</f>
        <v>70000</v>
      </c>
      <c r="W25" s="229">
        <f t="shared" si="10"/>
        <v>113.40810404906972</v>
      </c>
      <c r="X25" s="229">
        <f>Y25*'Luminaires 7P'!$D$4</f>
        <v>0</v>
      </c>
      <c r="Y25" s="238">
        <v>0</v>
      </c>
      <c r="Z25" s="229"/>
      <c r="AA25" s="229">
        <f>'Luminaires 7P'!N19</f>
        <v>113.40810404906972</v>
      </c>
      <c r="AB25" s="229">
        <v>0</v>
      </c>
      <c r="AC25" s="228">
        <f>'Luminaires 7P'!F7</f>
        <v>121</v>
      </c>
      <c r="AD25" s="228">
        <f>'Luminaires 7P'!F19</f>
        <v>35.411764705882355</v>
      </c>
      <c r="AE25" s="228">
        <f t="shared" si="2"/>
        <v>85.588235294117652</v>
      </c>
      <c r="AF25" s="230">
        <f t="shared" ref="AF25:AF36" si="19">AA25/AD25</f>
        <v>3.2025544332793774</v>
      </c>
      <c r="AG25" s="230">
        <f t="shared" ref="AG25:AG36" si="20">AA25/AE25</f>
        <v>1.3250431400922236</v>
      </c>
      <c r="AH25" s="231">
        <f t="shared" ref="AH25:AH36" si="21">1-(AD25/AC25)</f>
        <v>0.70734078755469132</v>
      </c>
      <c r="AI25" s="227"/>
      <c r="AJ25" s="227" t="s">
        <v>73</v>
      </c>
      <c r="AK25" s="227">
        <v>0.5</v>
      </c>
      <c r="AL25" s="227">
        <f>AK25*'Luminaires 7P'!$D$4</f>
        <v>65</v>
      </c>
      <c r="AM25" s="229">
        <f>'Luminaires 7P'!Q7</f>
        <v>12</v>
      </c>
      <c r="AN25" s="227"/>
      <c r="AO25" s="242">
        <f t="shared" si="11"/>
        <v>0.25</v>
      </c>
      <c r="AP25" s="232">
        <f>AQ25*AR25*AS25</f>
        <v>0.13500000000000001</v>
      </c>
      <c r="AQ25" s="231">
        <f t="shared" ref="AQ25:AQ36" si="22">AQ13</f>
        <v>0.54</v>
      </c>
      <c r="AR25" s="231">
        <f t="shared" ref="AR25:AR36" si="23">AR13</f>
        <v>0.5</v>
      </c>
      <c r="AS25" s="231">
        <v>0.5</v>
      </c>
      <c r="AT25" s="227"/>
      <c r="AU25" s="240">
        <f t="shared" si="13"/>
        <v>1.3250431400922236</v>
      </c>
    </row>
    <row r="26" spans="1:47">
      <c r="A26" s="227" t="s">
        <v>669</v>
      </c>
      <c r="B26" s="227" t="str">
        <f>'Luminaires 7P'!A8</f>
        <v>HPS 100W</v>
      </c>
      <c r="C26" s="227" t="str">
        <f>'Luminaires 7P'!B20</f>
        <v>LED 42W</v>
      </c>
      <c r="D26" s="227" t="s">
        <v>72</v>
      </c>
      <c r="E26" s="227" t="s">
        <v>75</v>
      </c>
      <c r="F26" s="227" t="str">
        <f t="shared" si="7"/>
        <v>Streetlight - HPS 100W - Tariff Relamp - to LED 42W - NR</v>
      </c>
      <c r="G26" s="228">
        <f>'Luminaires 7P'!AH20</f>
        <v>339.69999999999993</v>
      </c>
      <c r="H26" s="41">
        <f t="shared" si="8"/>
        <v>113.40810404906972</v>
      </c>
      <c r="I26" s="228">
        <f>'Luminaires 7P'!P8</f>
        <v>24000</v>
      </c>
      <c r="J26" s="228">
        <f>'Luminaires 7P'!P20</f>
        <v>70000</v>
      </c>
      <c r="K26" s="227">
        <v>4300</v>
      </c>
      <c r="L26" s="228">
        <f t="shared" si="9"/>
        <v>16.279069767441861</v>
      </c>
      <c r="M26" s="228">
        <f>-Pricing!$V$25</f>
        <v>-56</v>
      </c>
      <c r="N26" s="229"/>
      <c r="O26" s="234"/>
      <c r="P26" s="227"/>
      <c r="Q26" s="227"/>
      <c r="R26" s="227"/>
      <c r="S26" s="227"/>
      <c r="T26" s="227"/>
      <c r="U26" s="237">
        <f>'Luminaires 7P'!P8</f>
        <v>24000</v>
      </c>
      <c r="V26" s="237">
        <f>'Luminaires 7P'!P20</f>
        <v>70000</v>
      </c>
      <c r="W26" s="229">
        <f t="shared" si="10"/>
        <v>113.40810404906972</v>
      </c>
      <c r="X26" s="229">
        <f>Y26*'Luminaires 7P'!$D$4</f>
        <v>0</v>
      </c>
      <c r="Y26" s="238">
        <v>0</v>
      </c>
      <c r="Z26" s="229"/>
      <c r="AA26" s="229">
        <f>'Luminaires 7P'!N20</f>
        <v>113.40810404906972</v>
      </c>
      <c r="AB26" s="229">
        <v>0</v>
      </c>
      <c r="AC26" s="228">
        <f>'Luminaires 7P'!F8</f>
        <v>121</v>
      </c>
      <c r="AD26" s="228">
        <f>'Luminaires 7P'!F20</f>
        <v>35.411764705882355</v>
      </c>
      <c r="AE26" s="228">
        <f t="shared" si="2"/>
        <v>85.588235294117652</v>
      </c>
      <c r="AF26" s="230">
        <f t="shared" si="19"/>
        <v>3.2025544332793774</v>
      </c>
      <c r="AG26" s="230">
        <f t="shared" si="20"/>
        <v>1.3250431400922236</v>
      </c>
      <c r="AH26" s="231">
        <f t="shared" si="21"/>
        <v>0.70734078755469132</v>
      </c>
      <c r="AI26" s="227"/>
      <c r="AJ26" s="227" t="s">
        <v>74</v>
      </c>
      <c r="AK26" s="227"/>
      <c r="AL26" s="227"/>
      <c r="AM26" s="227"/>
      <c r="AN26" s="227"/>
      <c r="AO26" s="242">
        <f t="shared" si="11"/>
        <v>0.25</v>
      </c>
      <c r="AP26" s="232">
        <f t="shared" si="12"/>
        <v>0.13500000000000001</v>
      </c>
      <c r="AQ26" s="231">
        <f t="shared" si="22"/>
        <v>0.54</v>
      </c>
      <c r="AR26" s="231">
        <f t="shared" si="23"/>
        <v>0.5</v>
      </c>
      <c r="AS26" s="231">
        <v>0.5</v>
      </c>
      <c r="AT26" s="227"/>
      <c r="AU26" s="240">
        <f t="shared" si="13"/>
        <v>1.3250431400922236</v>
      </c>
    </row>
    <row r="27" spans="1:47">
      <c r="A27" s="227" t="s">
        <v>669</v>
      </c>
      <c r="B27" s="227" t="str">
        <f>'Luminaires 7P'!A9</f>
        <v>HPS 100W</v>
      </c>
      <c r="C27" s="227" t="str">
        <f>'Luminaires 7P'!B21</f>
        <v>LED 58W</v>
      </c>
      <c r="D27" s="227" t="s">
        <v>72</v>
      </c>
      <c r="E27" s="227" t="s">
        <v>75</v>
      </c>
      <c r="F27" s="227" t="str">
        <f t="shared" si="7"/>
        <v>Streetlight - HPS 100W - Group Relamp - to LED 58W - NR</v>
      </c>
      <c r="G27" s="228">
        <f>'Luminaires 7P'!AH21</f>
        <v>270.89999999999998</v>
      </c>
      <c r="H27" s="41">
        <f t="shared" si="8"/>
        <v>113.40810404906972</v>
      </c>
      <c r="I27" s="228">
        <f>'Luminaires 7P'!P9</f>
        <v>24000</v>
      </c>
      <c r="J27" s="228">
        <f>'Luminaires 7P'!P21</f>
        <v>70000</v>
      </c>
      <c r="K27" s="227">
        <v>4300</v>
      </c>
      <c r="L27" s="228">
        <f t="shared" si="9"/>
        <v>16.279069767441861</v>
      </c>
      <c r="M27" s="228"/>
      <c r="N27" s="229">
        <f t="shared" ref="N27" si="24">-(AL27+AM27)</f>
        <v>-77</v>
      </c>
      <c r="O27" s="234">
        <v>5</v>
      </c>
      <c r="P27" s="227"/>
      <c r="Q27" s="227"/>
      <c r="R27" s="227"/>
      <c r="S27" s="227"/>
      <c r="T27" s="227"/>
      <c r="U27" s="237">
        <f>'Luminaires 7P'!P9</f>
        <v>24000</v>
      </c>
      <c r="V27" s="237">
        <f>'Luminaires 7P'!P21</f>
        <v>70000</v>
      </c>
      <c r="W27" s="229">
        <f t="shared" si="10"/>
        <v>113.40810404906972</v>
      </c>
      <c r="X27" s="229">
        <f>Y27*'Luminaires 7P'!$D$4</f>
        <v>0</v>
      </c>
      <c r="Y27" s="238">
        <v>0</v>
      </c>
      <c r="Z27" s="229"/>
      <c r="AA27" s="229">
        <f>'Luminaires 7P'!N21</f>
        <v>113.40810404906972</v>
      </c>
      <c r="AB27" s="229">
        <v>0</v>
      </c>
      <c r="AC27" s="228">
        <f>'Luminaires 7P'!F9</f>
        <v>121</v>
      </c>
      <c r="AD27" s="228">
        <f>'Luminaires 7P'!F21</f>
        <v>48.901960784313722</v>
      </c>
      <c r="AE27" s="228">
        <f t="shared" si="2"/>
        <v>72.098039215686271</v>
      </c>
      <c r="AF27" s="230">
        <f t="shared" si="19"/>
        <v>2.3190911413402389</v>
      </c>
      <c r="AG27" s="230">
        <f t="shared" si="20"/>
        <v>1.5729707115862268</v>
      </c>
      <c r="AH27" s="231">
        <f t="shared" si="21"/>
        <v>0.59585156376600223</v>
      </c>
      <c r="AI27" s="227"/>
      <c r="AJ27" s="227" t="s">
        <v>73</v>
      </c>
      <c r="AK27" s="227">
        <v>0.5</v>
      </c>
      <c r="AL27" s="227">
        <f>AK27*'Luminaires 7P'!$D$4</f>
        <v>65</v>
      </c>
      <c r="AM27" s="229">
        <f>'Luminaires 7P'!Q9</f>
        <v>12</v>
      </c>
      <c r="AN27" s="227"/>
      <c r="AO27" s="242">
        <f t="shared" si="11"/>
        <v>0.25</v>
      </c>
      <c r="AP27" s="232">
        <f t="shared" si="12"/>
        <v>0.13500000000000001</v>
      </c>
      <c r="AQ27" s="231">
        <f t="shared" si="22"/>
        <v>0.54</v>
      </c>
      <c r="AR27" s="231">
        <f t="shared" si="23"/>
        <v>0.5</v>
      </c>
      <c r="AS27" s="231">
        <v>0.5</v>
      </c>
      <c r="AT27" s="227"/>
      <c r="AU27" s="240">
        <f t="shared" si="13"/>
        <v>1.5729707115862268</v>
      </c>
    </row>
    <row r="28" spans="1:47">
      <c r="A28" s="227" t="s">
        <v>669</v>
      </c>
      <c r="B28" s="227" t="str">
        <f>'Luminaires 7P'!A10</f>
        <v>HPS 100W</v>
      </c>
      <c r="C28" s="227" t="str">
        <f>'Luminaires 7P'!B22</f>
        <v>LED 58W</v>
      </c>
      <c r="D28" s="227" t="s">
        <v>72</v>
      </c>
      <c r="E28" s="227" t="s">
        <v>75</v>
      </c>
      <c r="F28" s="227" t="str">
        <f t="shared" si="7"/>
        <v>Streetlight - HPS 100W - Tariff Relamp - to LED 58W - NR</v>
      </c>
      <c r="G28" s="228">
        <f>'Luminaires 7P'!AH22</f>
        <v>270.89999999999998</v>
      </c>
      <c r="H28" s="41">
        <f t="shared" si="8"/>
        <v>113.40810404906972</v>
      </c>
      <c r="I28" s="228">
        <f>'Luminaires 7P'!P10</f>
        <v>24000</v>
      </c>
      <c r="J28" s="228">
        <f>'Luminaires 7P'!P22</f>
        <v>70000</v>
      </c>
      <c r="K28" s="227">
        <v>4300</v>
      </c>
      <c r="L28" s="228">
        <f t="shared" si="9"/>
        <v>16.279069767441861</v>
      </c>
      <c r="M28" s="228">
        <f>-Pricing!$V$25</f>
        <v>-56</v>
      </c>
      <c r="N28" s="227"/>
      <c r="O28" s="234"/>
      <c r="P28" s="227"/>
      <c r="Q28" s="227"/>
      <c r="R28" s="227"/>
      <c r="S28" s="227"/>
      <c r="T28" s="227"/>
      <c r="U28" s="237">
        <f>'Luminaires 7P'!P10</f>
        <v>24000</v>
      </c>
      <c r="V28" s="237">
        <f>'Luminaires 7P'!P22</f>
        <v>70000</v>
      </c>
      <c r="W28" s="229">
        <f t="shared" si="10"/>
        <v>113.40810404906972</v>
      </c>
      <c r="X28" s="229">
        <f>Y28*'Luminaires 7P'!$D$4</f>
        <v>0</v>
      </c>
      <c r="Y28" s="238">
        <v>0</v>
      </c>
      <c r="Z28" s="229"/>
      <c r="AA28" s="229">
        <f>'Luminaires 7P'!N22</f>
        <v>113.40810404906972</v>
      </c>
      <c r="AB28" s="229">
        <v>0</v>
      </c>
      <c r="AC28" s="228">
        <f>'Luminaires 7P'!F10</f>
        <v>121</v>
      </c>
      <c r="AD28" s="228">
        <f>'Luminaires 7P'!F22</f>
        <v>48.901960784313722</v>
      </c>
      <c r="AE28" s="228">
        <f t="shared" si="2"/>
        <v>72.098039215686271</v>
      </c>
      <c r="AF28" s="230">
        <f t="shared" si="19"/>
        <v>2.3190911413402389</v>
      </c>
      <c r="AG28" s="230">
        <f t="shared" si="20"/>
        <v>1.5729707115862268</v>
      </c>
      <c r="AH28" s="231">
        <f t="shared" si="21"/>
        <v>0.59585156376600223</v>
      </c>
      <c r="AI28" s="227"/>
      <c r="AJ28" s="227" t="s">
        <v>74</v>
      </c>
      <c r="AK28" s="227"/>
      <c r="AL28" s="227"/>
      <c r="AM28" s="227"/>
      <c r="AN28" s="227"/>
      <c r="AO28" s="242">
        <f t="shared" si="11"/>
        <v>0.25</v>
      </c>
      <c r="AP28" s="232">
        <f t="shared" si="12"/>
        <v>0.13500000000000001</v>
      </c>
      <c r="AQ28" s="231">
        <f t="shared" si="22"/>
        <v>0.54</v>
      </c>
      <c r="AR28" s="231">
        <f t="shared" si="23"/>
        <v>0.5</v>
      </c>
      <c r="AS28" s="231">
        <v>0.5</v>
      </c>
      <c r="AT28" s="227"/>
      <c r="AU28" s="240">
        <f t="shared" si="13"/>
        <v>1.5729707115862268</v>
      </c>
    </row>
    <row r="29" spans="1:47">
      <c r="A29" s="227" t="s">
        <v>670</v>
      </c>
      <c r="B29" s="227" t="str">
        <f>'Luminaires 7P'!A11</f>
        <v>MH 200W</v>
      </c>
      <c r="C29" s="227" t="str">
        <f>'Luminaires 7P'!B23</f>
        <v>LED 135W</v>
      </c>
      <c r="D29" s="227" t="s">
        <v>72</v>
      </c>
      <c r="E29" s="227" t="s">
        <v>75</v>
      </c>
      <c r="F29" s="227" t="str">
        <f t="shared" si="7"/>
        <v>Streetlight - MH 200W - Group Relamp - to LED 135W - NR</v>
      </c>
      <c r="G29" s="228">
        <f>'Luminaires 7P'!AH23</f>
        <v>408.5</v>
      </c>
      <c r="H29" s="41">
        <f t="shared" si="8"/>
        <v>162.01157721295672</v>
      </c>
      <c r="I29" s="228">
        <f>'Luminaires 7P'!P11</f>
        <v>24000</v>
      </c>
      <c r="J29" s="228">
        <f>'Luminaires 7P'!P23</f>
        <v>70000</v>
      </c>
      <c r="K29" s="227">
        <v>4300</v>
      </c>
      <c r="L29" s="228">
        <f t="shared" si="9"/>
        <v>16.279069767441861</v>
      </c>
      <c r="M29" s="228"/>
      <c r="N29" s="229">
        <f t="shared" ref="N29" si="25">-(AL29+AM29)</f>
        <v>-80</v>
      </c>
      <c r="O29" s="234">
        <v>5</v>
      </c>
      <c r="P29" s="227"/>
      <c r="Q29" s="227"/>
      <c r="R29" s="227"/>
      <c r="S29" s="227"/>
      <c r="T29" s="227"/>
      <c r="U29" s="237">
        <f>'Luminaires 7P'!P11</f>
        <v>24000</v>
      </c>
      <c r="V29" s="237">
        <f>'Luminaires 7P'!P23</f>
        <v>70000</v>
      </c>
      <c r="W29" s="229">
        <f t="shared" si="10"/>
        <v>162.01157721295672</v>
      </c>
      <c r="X29" s="229">
        <f>Y29*'Luminaires 7P'!$D$4</f>
        <v>0</v>
      </c>
      <c r="Y29" s="238">
        <v>0</v>
      </c>
      <c r="Z29" s="233"/>
      <c r="AA29" s="229">
        <f>'Luminaires 7P'!N23</f>
        <v>162.01157721295672</v>
      </c>
      <c r="AB29" s="229">
        <v>0</v>
      </c>
      <c r="AC29" s="228">
        <f>'Luminaires 7P'!F11</f>
        <v>230</v>
      </c>
      <c r="AD29" s="228">
        <f>'Luminaires 7P'!F23</f>
        <v>113.82352941176471</v>
      </c>
      <c r="AE29" s="228">
        <f t="shared" si="2"/>
        <v>116.17647058823529</v>
      </c>
      <c r="AF29" s="235">
        <f t="shared" si="19"/>
        <v>1.4233575259019453</v>
      </c>
      <c r="AG29" s="235">
        <f t="shared" si="20"/>
        <v>1.3945300317064631</v>
      </c>
      <c r="AH29" s="236">
        <f t="shared" si="21"/>
        <v>0.50511508951406647</v>
      </c>
      <c r="AI29" s="227"/>
      <c r="AJ29" s="227" t="s">
        <v>73</v>
      </c>
      <c r="AK29" s="227">
        <v>0.5</v>
      </c>
      <c r="AL29" s="227">
        <f>AK29*'Luminaires 7P'!$D$4</f>
        <v>65</v>
      </c>
      <c r="AM29" s="229">
        <f>'Luminaires 7P'!Q11</f>
        <v>15</v>
      </c>
      <c r="AN29" s="227"/>
      <c r="AO29" s="242">
        <f t="shared" si="11"/>
        <v>0.5</v>
      </c>
      <c r="AP29" s="232">
        <f t="shared" si="12"/>
        <v>6.5500000000000003E-2</v>
      </c>
      <c r="AQ29" s="231">
        <f t="shared" si="22"/>
        <v>0.13100000000000001</v>
      </c>
      <c r="AR29" s="231">
        <f t="shared" si="23"/>
        <v>1</v>
      </c>
      <c r="AS29" s="231">
        <v>0.5</v>
      </c>
      <c r="AT29" s="227"/>
      <c r="AU29" s="240">
        <f t="shared" si="13"/>
        <v>1.3945300317064631</v>
      </c>
    </row>
    <row r="30" spans="1:47">
      <c r="A30" s="227" t="s">
        <v>670</v>
      </c>
      <c r="B30" s="227" t="str">
        <f>'Luminaires 7P'!A12</f>
        <v>MH 200W</v>
      </c>
      <c r="C30" s="227" t="str">
        <f>'Luminaires 7P'!B24</f>
        <v>LED 135W</v>
      </c>
      <c r="D30" s="227" t="s">
        <v>72</v>
      </c>
      <c r="E30" s="227" t="s">
        <v>75</v>
      </c>
      <c r="F30" s="227" t="str">
        <f t="shared" si="7"/>
        <v>Streetlight - MH 200W - Tariff Relamp - to LED 135W - NR</v>
      </c>
      <c r="G30" s="228">
        <f>'Luminaires 7P'!AH24</f>
        <v>408.5</v>
      </c>
      <c r="H30" s="41">
        <f t="shared" si="8"/>
        <v>162.01157721295672</v>
      </c>
      <c r="I30" s="228">
        <f>'Luminaires 7P'!P12</f>
        <v>24000</v>
      </c>
      <c r="J30" s="228">
        <f>'Luminaires 7P'!P24</f>
        <v>70000</v>
      </c>
      <c r="K30" s="227">
        <v>4300</v>
      </c>
      <c r="L30" s="228">
        <f t="shared" si="9"/>
        <v>16.279069767441861</v>
      </c>
      <c r="M30" s="228">
        <f>-Pricing!$V$25</f>
        <v>-56</v>
      </c>
      <c r="N30" s="229"/>
      <c r="O30" s="234"/>
      <c r="P30" s="227"/>
      <c r="Q30" s="227"/>
      <c r="R30" s="227"/>
      <c r="S30" s="227"/>
      <c r="T30" s="227"/>
      <c r="U30" s="237">
        <f>'Luminaires 7P'!P12</f>
        <v>24000</v>
      </c>
      <c r="V30" s="237">
        <f>'Luminaires 7P'!P24</f>
        <v>70000</v>
      </c>
      <c r="W30" s="229">
        <f t="shared" si="10"/>
        <v>162.01157721295672</v>
      </c>
      <c r="X30" s="229">
        <f>Y30*'Luminaires 7P'!$D$4</f>
        <v>0</v>
      </c>
      <c r="Y30" s="238">
        <v>0</v>
      </c>
      <c r="Z30" s="233"/>
      <c r="AA30" s="229">
        <f>'Luminaires 7P'!N24</f>
        <v>162.01157721295672</v>
      </c>
      <c r="AB30" s="229">
        <v>0</v>
      </c>
      <c r="AC30" s="228">
        <f>'Luminaires 7P'!F12</f>
        <v>230</v>
      </c>
      <c r="AD30" s="228">
        <f>'Luminaires 7P'!F24</f>
        <v>113.82352941176471</v>
      </c>
      <c r="AE30" s="228">
        <f t="shared" si="2"/>
        <v>116.17647058823529</v>
      </c>
      <c r="AF30" s="235">
        <f t="shared" si="19"/>
        <v>1.4233575259019453</v>
      </c>
      <c r="AG30" s="235">
        <f t="shared" si="20"/>
        <v>1.3945300317064631</v>
      </c>
      <c r="AH30" s="236">
        <f t="shared" si="21"/>
        <v>0.50511508951406647</v>
      </c>
      <c r="AI30" s="227"/>
      <c r="AJ30" s="227" t="s">
        <v>74</v>
      </c>
      <c r="AK30" s="227"/>
      <c r="AL30" s="227"/>
      <c r="AM30" s="227"/>
      <c r="AN30" s="227"/>
      <c r="AO30" s="242">
        <f t="shared" si="11"/>
        <v>0.5</v>
      </c>
      <c r="AP30" s="232">
        <f t="shared" si="12"/>
        <v>6.5500000000000003E-2</v>
      </c>
      <c r="AQ30" s="231">
        <f t="shared" si="22"/>
        <v>0.13100000000000001</v>
      </c>
      <c r="AR30" s="231">
        <f t="shared" si="23"/>
        <v>1</v>
      </c>
      <c r="AS30" s="231">
        <v>0.5</v>
      </c>
      <c r="AT30" s="227"/>
      <c r="AU30" s="240">
        <f t="shared" si="13"/>
        <v>1.3945300317064631</v>
      </c>
    </row>
    <row r="31" spans="1:47">
      <c r="A31" s="227" t="s">
        <v>671</v>
      </c>
      <c r="B31" s="227" t="str">
        <f>'Luminaires 7P'!A13</f>
        <v>HPS 250W</v>
      </c>
      <c r="C31" s="227" t="str">
        <f>'Luminaires 7P'!B25</f>
        <v>LED 135W</v>
      </c>
      <c r="D31" s="227" t="s">
        <v>72</v>
      </c>
      <c r="E31" s="227" t="s">
        <v>75</v>
      </c>
      <c r="F31" s="227" t="str">
        <f t="shared" si="7"/>
        <v>Streetlight - HPS 250W - Group Relamp - to LED 135W - NR</v>
      </c>
      <c r="G31" s="228">
        <f>'Luminaires 7P'!AH25</f>
        <v>666.5</v>
      </c>
      <c r="H31" s="41">
        <f t="shared" si="8"/>
        <v>162.01157721295672</v>
      </c>
      <c r="I31" s="228">
        <f>'Luminaires 7P'!P13</f>
        <v>24000</v>
      </c>
      <c r="J31" s="228">
        <f>'Luminaires 7P'!P25</f>
        <v>70000</v>
      </c>
      <c r="K31" s="227">
        <v>4300</v>
      </c>
      <c r="L31" s="228">
        <f t="shared" si="9"/>
        <v>16.279069767441861</v>
      </c>
      <c r="M31" s="228"/>
      <c r="N31" s="229">
        <f t="shared" ref="N31" si="26">-(AL31+AM31)</f>
        <v>-80</v>
      </c>
      <c r="O31" s="234">
        <v>5</v>
      </c>
      <c r="P31" s="227"/>
      <c r="Q31" s="227"/>
      <c r="R31" s="227"/>
      <c r="S31" s="227"/>
      <c r="T31" s="227"/>
      <c r="U31" s="237">
        <f>'Luminaires 7P'!P13</f>
        <v>24000</v>
      </c>
      <c r="V31" s="237">
        <f>'Luminaires 7P'!P25</f>
        <v>70000</v>
      </c>
      <c r="W31" s="229">
        <f t="shared" si="10"/>
        <v>162.01157721295672</v>
      </c>
      <c r="X31" s="229">
        <f>Y31*'Luminaires 7P'!$D$4</f>
        <v>0</v>
      </c>
      <c r="Y31" s="238">
        <v>0</v>
      </c>
      <c r="Z31" s="233"/>
      <c r="AA31" s="229">
        <f>'Luminaires 7P'!N25</f>
        <v>162.01157721295672</v>
      </c>
      <c r="AB31" s="229">
        <v>0</v>
      </c>
      <c r="AC31" s="228">
        <f>'Luminaires 7P'!F13</f>
        <v>290</v>
      </c>
      <c r="AD31" s="228">
        <f>'Luminaires 7P'!F25</f>
        <v>113.82352941176471</v>
      </c>
      <c r="AE31" s="228">
        <f t="shared" si="2"/>
        <v>176.1764705882353</v>
      </c>
      <c r="AF31" s="235">
        <f t="shared" si="19"/>
        <v>1.4233575259019453</v>
      </c>
      <c r="AG31" s="235">
        <f t="shared" si="20"/>
        <v>0.91959826798673261</v>
      </c>
      <c r="AH31" s="236">
        <f t="shared" si="21"/>
        <v>0.60750507099391482</v>
      </c>
      <c r="AI31" s="227"/>
      <c r="AJ31" s="227" t="s">
        <v>73</v>
      </c>
      <c r="AK31" s="227">
        <v>0.5</v>
      </c>
      <c r="AL31" s="227">
        <f>AK31*'Luminaires 7P'!$D$4</f>
        <v>65</v>
      </c>
      <c r="AM31" s="229">
        <f>'Luminaires 7P'!Q13</f>
        <v>15</v>
      </c>
      <c r="AN31" s="227"/>
      <c r="AO31" s="242">
        <f t="shared" si="11"/>
        <v>0.5</v>
      </c>
      <c r="AP31" s="232">
        <f t="shared" si="12"/>
        <v>7.0000000000000007E-2</v>
      </c>
      <c r="AQ31" s="231">
        <f t="shared" si="22"/>
        <v>0.14000000000000001</v>
      </c>
      <c r="AR31" s="231">
        <f t="shared" si="23"/>
        <v>1</v>
      </c>
      <c r="AS31" s="231">
        <v>0.5</v>
      </c>
      <c r="AT31" s="227"/>
      <c r="AU31" s="240">
        <f t="shared" si="13"/>
        <v>0.91959826798673261</v>
      </c>
    </row>
    <row r="32" spans="1:47">
      <c r="A32" s="227" t="s">
        <v>671</v>
      </c>
      <c r="B32" s="227" t="str">
        <f>'Luminaires 7P'!A14</f>
        <v>HPS 250W</v>
      </c>
      <c r="C32" s="227" t="str">
        <f>'Luminaires 7P'!B26</f>
        <v>LED 135W</v>
      </c>
      <c r="D32" s="227" t="s">
        <v>72</v>
      </c>
      <c r="E32" s="227" t="s">
        <v>75</v>
      </c>
      <c r="F32" s="227" t="str">
        <f t="shared" si="7"/>
        <v>Streetlight - HPS 250W - Tariff Relamp - to LED 135W - NR</v>
      </c>
      <c r="G32" s="228">
        <f>'Luminaires 7P'!AH26</f>
        <v>666.5</v>
      </c>
      <c r="H32" s="41">
        <f t="shared" si="8"/>
        <v>162.01157721295672</v>
      </c>
      <c r="I32" s="228">
        <f>'Luminaires 7P'!P14</f>
        <v>24000</v>
      </c>
      <c r="J32" s="228">
        <f>'Luminaires 7P'!P26</f>
        <v>70000</v>
      </c>
      <c r="K32" s="227">
        <v>4300</v>
      </c>
      <c r="L32" s="228">
        <f t="shared" si="9"/>
        <v>16.279069767441861</v>
      </c>
      <c r="M32" s="228">
        <f>-Pricing!$V$25</f>
        <v>-56</v>
      </c>
      <c r="N32" s="229"/>
      <c r="O32" s="234"/>
      <c r="P32" s="227"/>
      <c r="Q32" s="227"/>
      <c r="R32" s="227"/>
      <c r="S32" s="227"/>
      <c r="T32" s="227"/>
      <c r="U32" s="237">
        <f>'Luminaires 7P'!P14</f>
        <v>24000</v>
      </c>
      <c r="V32" s="237">
        <f>'Luminaires 7P'!P26</f>
        <v>70000</v>
      </c>
      <c r="W32" s="229">
        <f t="shared" si="10"/>
        <v>162.01157721295672</v>
      </c>
      <c r="X32" s="229">
        <f>Y32*'Luminaires 7P'!$D$4</f>
        <v>0</v>
      </c>
      <c r="Y32" s="238">
        <v>0</v>
      </c>
      <c r="Z32" s="233"/>
      <c r="AA32" s="229">
        <f>'Luminaires 7P'!N26</f>
        <v>162.01157721295672</v>
      </c>
      <c r="AB32" s="229">
        <v>0</v>
      </c>
      <c r="AC32" s="228">
        <f>'Luminaires 7P'!F14</f>
        <v>290</v>
      </c>
      <c r="AD32" s="228">
        <f>'Luminaires 7P'!F26</f>
        <v>113.82352941176471</v>
      </c>
      <c r="AE32" s="228">
        <f t="shared" si="2"/>
        <v>176.1764705882353</v>
      </c>
      <c r="AF32" s="235">
        <f t="shared" si="19"/>
        <v>1.4233575259019453</v>
      </c>
      <c r="AG32" s="235">
        <f t="shared" si="20"/>
        <v>0.91959826798673261</v>
      </c>
      <c r="AH32" s="236">
        <f t="shared" si="21"/>
        <v>0.60750507099391482</v>
      </c>
      <c r="AI32" s="227"/>
      <c r="AJ32" s="227" t="s">
        <v>74</v>
      </c>
      <c r="AK32" s="227"/>
      <c r="AL32" s="227"/>
      <c r="AM32" s="227"/>
      <c r="AN32" s="227"/>
      <c r="AO32" s="242">
        <f t="shared" si="11"/>
        <v>0.5</v>
      </c>
      <c r="AP32" s="232">
        <f t="shared" si="12"/>
        <v>7.0000000000000007E-2</v>
      </c>
      <c r="AQ32" s="231">
        <f t="shared" si="22"/>
        <v>0.14000000000000001</v>
      </c>
      <c r="AR32" s="231">
        <f t="shared" si="23"/>
        <v>1</v>
      </c>
      <c r="AS32" s="231">
        <v>0.5</v>
      </c>
      <c r="AT32" s="227"/>
      <c r="AU32" s="240">
        <f t="shared" si="13"/>
        <v>0.91959826798673261</v>
      </c>
    </row>
    <row r="33" spans="1:47">
      <c r="A33" s="227" t="s">
        <v>672</v>
      </c>
      <c r="B33" s="227" t="str">
        <f>'Luminaires 7P'!A15</f>
        <v>MH 400W</v>
      </c>
      <c r="C33" s="227" t="str">
        <f>'Luminaires 7P'!B27</f>
        <v>LED 180W</v>
      </c>
      <c r="D33" s="227" t="s">
        <v>72</v>
      </c>
      <c r="E33" s="227" t="s">
        <v>75</v>
      </c>
      <c r="F33" s="227" t="str">
        <f t="shared" si="7"/>
        <v>Streetlight - MH 400W - Group Relamp - to LED 180W - NR</v>
      </c>
      <c r="G33" s="228">
        <f>'Luminaires 7P'!AH27</f>
        <v>1195.4000000000001</v>
      </c>
      <c r="H33" s="41">
        <f t="shared" si="8"/>
        <v>324.02315442591345</v>
      </c>
      <c r="I33" s="228">
        <f>'Luminaires 7P'!P15</f>
        <v>16000</v>
      </c>
      <c r="J33" s="228">
        <f>'Luminaires 7P'!P27</f>
        <v>70000</v>
      </c>
      <c r="K33" s="227">
        <v>4300</v>
      </c>
      <c r="L33" s="228">
        <f t="shared" si="9"/>
        <v>16.279069767441861</v>
      </c>
      <c r="M33" s="228"/>
      <c r="N33" s="229">
        <f t="shared" ref="N33" si="27">-(AL33+AM33)</f>
        <v>-83</v>
      </c>
      <c r="O33" s="234">
        <v>4</v>
      </c>
      <c r="P33" s="227"/>
      <c r="Q33" s="227"/>
      <c r="R33" s="227"/>
      <c r="S33" s="227"/>
      <c r="T33" s="227"/>
      <c r="U33" s="237">
        <f>'Luminaires 7P'!P15</f>
        <v>16000</v>
      </c>
      <c r="V33" s="237">
        <f>'Luminaires 7P'!P27</f>
        <v>70000</v>
      </c>
      <c r="W33" s="229">
        <f t="shared" si="10"/>
        <v>324.02315442591345</v>
      </c>
      <c r="X33" s="229">
        <f>Y33*'Luminaires 7P'!$D$4</f>
        <v>0</v>
      </c>
      <c r="Y33" s="238">
        <v>0</v>
      </c>
      <c r="Z33" s="229"/>
      <c r="AA33" s="229">
        <f>'Luminaires 7P'!N27</f>
        <v>324.02315442591345</v>
      </c>
      <c r="AB33" s="229">
        <v>0</v>
      </c>
      <c r="AC33" s="228">
        <f>'Luminaires 7P'!F15</f>
        <v>458</v>
      </c>
      <c r="AD33" s="228">
        <f>'Luminaires 7P'!F27</f>
        <v>151.76470588235293</v>
      </c>
      <c r="AE33" s="228">
        <f t="shared" si="2"/>
        <v>306.23529411764707</v>
      </c>
      <c r="AF33" s="230">
        <f t="shared" si="19"/>
        <v>2.1350362888529184</v>
      </c>
      <c r="AG33" s="230">
        <f t="shared" si="20"/>
        <v>1.0580855983942621</v>
      </c>
      <c r="AH33" s="231">
        <f t="shared" si="21"/>
        <v>0.66863601335730805</v>
      </c>
      <c r="AI33" s="227"/>
      <c r="AJ33" s="227" t="s">
        <v>73</v>
      </c>
      <c r="AK33" s="227">
        <v>0.5</v>
      </c>
      <c r="AL33" s="227">
        <f>AK33*'Luminaires 7P'!$D$4</f>
        <v>65</v>
      </c>
      <c r="AM33" s="229">
        <f>'Luminaires 7P'!Q15</f>
        <v>18</v>
      </c>
      <c r="AN33" s="227"/>
      <c r="AO33" s="242">
        <f t="shared" si="11"/>
        <v>0.5</v>
      </c>
      <c r="AP33" s="232">
        <f t="shared" si="12"/>
        <v>8.7499999999999994E-2</v>
      </c>
      <c r="AQ33" s="231">
        <f t="shared" si="22"/>
        <v>0.17499999999999999</v>
      </c>
      <c r="AR33" s="231">
        <f t="shared" si="23"/>
        <v>1</v>
      </c>
      <c r="AS33" s="231">
        <v>0.5</v>
      </c>
      <c r="AT33" s="227"/>
      <c r="AU33" s="240">
        <f t="shared" si="13"/>
        <v>1.0580855983942621</v>
      </c>
    </row>
    <row r="34" spans="1:47">
      <c r="A34" s="227" t="s">
        <v>672</v>
      </c>
      <c r="B34" s="227" t="str">
        <f>'Luminaires 7P'!A16</f>
        <v>MH 400W</v>
      </c>
      <c r="C34" s="227" t="str">
        <f>'Luminaires 7P'!B28</f>
        <v>LED 180W</v>
      </c>
      <c r="D34" s="227" t="s">
        <v>72</v>
      </c>
      <c r="E34" s="227" t="s">
        <v>75</v>
      </c>
      <c r="F34" s="227" t="str">
        <f t="shared" si="7"/>
        <v>Streetlight - MH 400W - Tariff Relamp - to LED 180W - NR</v>
      </c>
      <c r="G34" s="228">
        <f>'Luminaires 7P'!AH28</f>
        <v>1195.4000000000001</v>
      </c>
      <c r="H34" s="41">
        <f t="shared" si="8"/>
        <v>324.02315442591345</v>
      </c>
      <c r="I34" s="228">
        <f>'Luminaires 7P'!P16</f>
        <v>16000</v>
      </c>
      <c r="J34" s="228">
        <f>'Luminaires 7P'!P28</f>
        <v>70000</v>
      </c>
      <c r="K34" s="227">
        <v>4300</v>
      </c>
      <c r="L34" s="228">
        <f t="shared" si="9"/>
        <v>16.279069767441861</v>
      </c>
      <c r="M34" s="228">
        <f>-Pricing!$V$25</f>
        <v>-56</v>
      </c>
      <c r="N34" s="227"/>
      <c r="O34" s="234"/>
      <c r="P34" s="227"/>
      <c r="Q34" s="227"/>
      <c r="R34" s="227"/>
      <c r="S34" s="227"/>
      <c r="T34" s="227"/>
      <c r="U34" s="237">
        <f>'Luminaires 7P'!P16</f>
        <v>16000</v>
      </c>
      <c r="V34" s="237">
        <f>'Luminaires 7P'!P28</f>
        <v>70000</v>
      </c>
      <c r="W34" s="229">
        <f t="shared" si="10"/>
        <v>324.02315442591345</v>
      </c>
      <c r="X34" s="229">
        <f>Y34*'Luminaires 7P'!$D$4</f>
        <v>0</v>
      </c>
      <c r="Y34" s="238">
        <v>0</v>
      </c>
      <c r="Z34" s="229"/>
      <c r="AA34" s="229">
        <f>'Luminaires 7P'!N28</f>
        <v>324.02315442591345</v>
      </c>
      <c r="AB34" s="229">
        <v>0</v>
      </c>
      <c r="AC34" s="228">
        <f>'Luminaires 7P'!F16</f>
        <v>458</v>
      </c>
      <c r="AD34" s="228">
        <f>'Luminaires 7P'!F28</f>
        <v>151.76470588235293</v>
      </c>
      <c r="AE34" s="228">
        <f t="shared" si="2"/>
        <v>306.23529411764707</v>
      </c>
      <c r="AF34" s="230">
        <f t="shared" si="19"/>
        <v>2.1350362888529184</v>
      </c>
      <c r="AG34" s="230">
        <f t="shared" si="20"/>
        <v>1.0580855983942621</v>
      </c>
      <c r="AH34" s="231">
        <f t="shared" si="21"/>
        <v>0.66863601335730805</v>
      </c>
      <c r="AI34" s="227"/>
      <c r="AJ34" s="227" t="s">
        <v>74</v>
      </c>
      <c r="AK34" s="227"/>
      <c r="AL34" s="227"/>
      <c r="AM34" s="227"/>
      <c r="AN34" s="227"/>
      <c r="AO34" s="242">
        <f t="shared" si="11"/>
        <v>0.5</v>
      </c>
      <c r="AP34" s="232">
        <f t="shared" si="12"/>
        <v>8.7499999999999994E-2</v>
      </c>
      <c r="AQ34" s="231">
        <f t="shared" si="22"/>
        <v>0.17499999999999999</v>
      </c>
      <c r="AR34" s="231">
        <f t="shared" si="23"/>
        <v>1</v>
      </c>
      <c r="AS34" s="231">
        <v>0.5</v>
      </c>
      <c r="AT34" s="227"/>
      <c r="AU34" s="240">
        <f t="shared" si="13"/>
        <v>1.0580855983942621</v>
      </c>
    </row>
    <row r="35" spans="1:47">
      <c r="A35" s="227" t="s">
        <v>673</v>
      </c>
      <c r="B35" s="227" t="str">
        <f>'Luminaires 7P'!A17</f>
        <v>MH 1000W</v>
      </c>
      <c r="C35" s="227" t="str">
        <f>'Luminaires 7P'!B29</f>
        <v>LED 421W</v>
      </c>
      <c r="D35" s="227" t="s">
        <v>72</v>
      </c>
      <c r="E35" s="227" t="s">
        <v>75</v>
      </c>
      <c r="F35" s="227" t="str">
        <f t="shared" si="7"/>
        <v>Streetlight - MH 1000W - Group Relamp - to LED 421W - NR</v>
      </c>
      <c r="G35" s="228">
        <f>'Luminaires 7P'!AH29</f>
        <v>2919.7</v>
      </c>
      <c r="H35" s="41">
        <f t="shared" si="8"/>
        <v>972.0694632777404</v>
      </c>
      <c r="I35" s="228">
        <f>'Luminaires 7P'!P17</f>
        <v>16000</v>
      </c>
      <c r="J35" s="228">
        <f>'Luminaires 7P'!P29</f>
        <v>70000</v>
      </c>
      <c r="K35" s="227">
        <v>4300</v>
      </c>
      <c r="L35" s="228">
        <f t="shared" si="9"/>
        <v>16.279069767441861</v>
      </c>
      <c r="M35" s="228"/>
      <c r="N35" s="229">
        <f t="shared" ref="N35" si="28">-(AL35+AM35)</f>
        <v>-85</v>
      </c>
      <c r="O35" s="234">
        <v>4</v>
      </c>
      <c r="P35" s="227"/>
      <c r="Q35" s="227"/>
      <c r="R35" s="227"/>
      <c r="S35" s="227"/>
      <c r="T35" s="227"/>
      <c r="U35" s="237">
        <f>'Luminaires 7P'!P17</f>
        <v>16000</v>
      </c>
      <c r="V35" s="237">
        <f>'Luminaires 7P'!P29</f>
        <v>70000</v>
      </c>
      <c r="W35" s="229">
        <f t="shared" si="10"/>
        <v>972.0694632777404</v>
      </c>
      <c r="X35" s="229">
        <f>Y35*'Luminaires 7P'!$D$4</f>
        <v>0</v>
      </c>
      <c r="Y35" s="238">
        <v>0</v>
      </c>
      <c r="Z35" s="229"/>
      <c r="AA35" s="229">
        <f>'Luminaires 7P'!N29</f>
        <v>972.0694632777404</v>
      </c>
      <c r="AB35" s="229">
        <v>0</v>
      </c>
      <c r="AC35" s="228">
        <f>'Luminaires 7P'!F17</f>
        <v>1100</v>
      </c>
      <c r="AD35" s="228">
        <f>'Luminaires 7P'!F29</f>
        <v>354.96078431372547</v>
      </c>
      <c r="AE35" s="228">
        <f t="shared" si="2"/>
        <v>745.03921568627447</v>
      </c>
      <c r="AF35" s="230">
        <f t="shared" si="19"/>
        <v>2.7385263562483986</v>
      </c>
      <c r="AG35" s="230">
        <f t="shared" si="20"/>
        <v>1.304722547231749</v>
      </c>
      <c r="AH35" s="231">
        <f t="shared" si="21"/>
        <v>0.67730837789661313</v>
      </c>
      <c r="AI35" s="227"/>
      <c r="AJ35" s="227" t="s">
        <v>73</v>
      </c>
      <c r="AK35" s="227">
        <v>0.5</v>
      </c>
      <c r="AL35" s="227">
        <f>AK35*'Luminaires 7P'!$D$4</f>
        <v>65</v>
      </c>
      <c r="AM35" s="229">
        <f>'Luminaires 7P'!Q17</f>
        <v>20</v>
      </c>
      <c r="AN35" s="227"/>
      <c r="AO35" s="242">
        <f t="shared" si="11"/>
        <v>0.5</v>
      </c>
      <c r="AP35" s="232">
        <f t="shared" si="12"/>
        <v>7.0000000000000001E-3</v>
      </c>
      <c r="AQ35" s="231">
        <f t="shared" si="22"/>
        <v>1.4E-2</v>
      </c>
      <c r="AR35" s="231">
        <f t="shared" si="23"/>
        <v>1</v>
      </c>
      <c r="AS35" s="231">
        <v>0.5</v>
      </c>
      <c r="AT35" s="227"/>
      <c r="AU35" s="240">
        <f t="shared" si="13"/>
        <v>1.304722547231749</v>
      </c>
    </row>
    <row r="36" spans="1:47">
      <c r="A36" s="227" t="s">
        <v>673</v>
      </c>
      <c r="B36" s="227" t="str">
        <f>'Luminaires 7P'!A18</f>
        <v>MH 1000W</v>
      </c>
      <c r="C36" s="227" t="str">
        <f>'Luminaires 7P'!B30</f>
        <v>LED 421W</v>
      </c>
      <c r="D36" s="227" t="s">
        <v>72</v>
      </c>
      <c r="E36" s="227" t="s">
        <v>75</v>
      </c>
      <c r="F36" s="227" t="str">
        <f t="shared" si="7"/>
        <v>Streetlight - MH 1000W - Tariff Relamp - to LED 421W - NR</v>
      </c>
      <c r="G36" s="228">
        <f>'Luminaires 7P'!AH30</f>
        <v>2919.7</v>
      </c>
      <c r="H36" s="41">
        <f t="shared" si="8"/>
        <v>972.0694632777404</v>
      </c>
      <c r="I36" s="228">
        <f>'Luminaires 7P'!P18</f>
        <v>16000</v>
      </c>
      <c r="J36" s="228">
        <f>'Luminaires 7P'!P30</f>
        <v>70000</v>
      </c>
      <c r="K36" s="227">
        <v>4300</v>
      </c>
      <c r="L36" s="228">
        <f t="shared" si="9"/>
        <v>16.279069767441861</v>
      </c>
      <c r="M36" s="228">
        <f>-Pricing!$V$25</f>
        <v>-56</v>
      </c>
      <c r="N36" s="227"/>
      <c r="O36" s="234"/>
      <c r="P36" s="227"/>
      <c r="Q36" s="227"/>
      <c r="R36" s="227"/>
      <c r="S36" s="227"/>
      <c r="T36" s="227"/>
      <c r="U36" s="237">
        <f>'Luminaires 7P'!P18</f>
        <v>16000</v>
      </c>
      <c r="V36" s="237">
        <f>'Luminaires 7P'!P30</f>
        <v>70000</v>
      </c>
      <c r="W36" s="229">
        <f t="shared" si="10"/>
        <v>972.0694632777404</v>
      </c>
      <c r="X36" s="229">
        <f>Y36*'Luminaires 7P'!$D$4</f>
        <v>0</v>
      </c>
      <c r="Y36" s="238">
        <v>0</v>
      </c>
      <c r="Z36" s="229"/>
      <c r="AA36" s="229">
        <f>'Luminaires 7P'!N30</f>
        <v>972.0694632777404</v>
      </c>
      <c r="AB36" s="229">
        <v>0</v>
      </c>
      <c r="AC36" s="228">
        <f>'Luminaires 7P'!F18</f>
        <v>1100</v>
      </c>
      <c r="AD36" s="228">
        <f>'Luminaires 7P'!F30</f>
        <v>354.96078431372547</v>
      </c>
      <c r="AE36" s="228">
        <f t="shared" si="2"/>
        <v>745.03921568627447</v>
      </c>
      <c r="AF36" s="230">
        <f t="shared" si="19"/>
        <v>2.7385263562483986</v>
      </c>
      <c r="AG36" s="230">
        <f t="shared" si="20"/>
        <v>1.304722547231749</v>
      </c>
      <c r="AH36" s="231">
        <f t="shared" si="21"/>
        <v>0.67730837789661313</v>
      </c>
      <c r="AI36" s="227"/>
      <c r="AJ36" s="227" t="s">
        <v>74</v>
      </c>
      <c r="AK36" s="227"/>
      <c r="AL36" s="227"/>
      <c r="AM36" s="227"/>
      <c r="AN36" s="227"/>
      <c r="AO36" s="242">
        <f t="shared" si="11"/>
        <v>0.5</v>
      </c>
      <c r="AP36" s="232">
        <f t="shared" si="12"/>
        <v>7.0000000000000001E-3</v>
      </c>
      <c r="AQ36" s="231">
        <f t="shared" si="22"/>
        <v>1.4E-2</v>
      </c>
      <c r="AR36" s="231">
        <f t="shared" si="23"/>
        <v>1</v>
      </c>
      <c r="AS36" s="231">
        <v>0.5</v>
      </c>
      <c r="AT36" s="227"/>
      <c r="AU36" s="240">
        <f t="shared" si="13"/>
        <v>1.304722547231749</v>
      </c>
    </row>
  </sheetData>
  <autoFilter ref="B12:AP36">
    <filterColumn colId="19"/>
    <filterColumn colId="20"/>
    <filterColumn colId="39"/>
  </autoFilter>
  <pageMargins left="0.75" right="0.75" top="1" bottom="1" header="0.5" footer="0.5"/>
  <headerFooter alignWithMargins="0"/>
  <legacyDrawing r:id="rId1"/>
</worksheet>
</file>

<file path=xl/worksheets/sheet11.xml><?xml version="1.0" encoding="utf-8"?>
<worksheet xmlns="http://schemas.openxmlformats.org/spreadsheetml/2006/main" xmlns:r="http://schemas.openxmlformats.org/officeDocument/2006/relationships">
  <sheetPr codeName="Sheet6"/>
  <dimension ref="A1:AH31"/>
  <sheetViews>
    <sheetView workbookViewId="0">
      <selection activeCell="D40" sqref="D40"/>
    </sheetView>
  </sheetViews>
  <sheetFormatPr defaultRowHeight="12.75"/>
  <cols>
    <col min="1" max="1" width="13.5703125" style="34" customWidth="1"/>
    <col min="2" max="2" width="12" style="34" customWidth="1"/>
    <col min="3" max="3" width="46.5703125" style="34" customWidth="1"/>
    <col min="4" max="5" width="9.140625" style="34"/>
    <col min="6" max="8" width="10.5703125" style="34" customWidth="1"/>
    <col min="9" max="9" width="9.140625" style="34"/>
    <col min="10" max="10" width="10.42578125" style="34" customWidth="1"/>
    <col min="11" max="13" width="9.140625" style="34"/>
    <col min="14" max="14" width="11.28515625" style="34" customWidth="1"/>
    <col min="15" max="15" width="11.28515625" style="34" bestFit="1" customWidth="1"/>
    <col min="16" max="16" width="9.140625" style="34"/>
    <col min="17" max="17" width="11.28515625" style="34" customWidth="1"/>
    <col min="18" max="20" width="9.7109375" style="34" customWidth="1"/>
    <col min="21" max="21" width="11.5703125" style="34" customWidth="1"/>
    <col min="22" max="25" width="9.140625" style="34"/>
    <col min="26" max="26" width="17" style="34" customWidth="1"/>
    <col min="27" max="27" width="10" style="34" customWidth="1"/>
    <col min="28" max="29" width="9.140625" style="34"/>
    <col min="30" max="31" width="10.7109375" style="34" customWidth="1"/>
    <col min="32" max="32" width="11.85546875" style="34" customWidth="1"/>
    <col min="33" max="34" width="10.5703125" style="34" customWidth="1"/>
    <col min="35" max="16384" width="9.140625" style="34"/>
  </cols>
  <sheetData>
    <row r="1" spans="1:34">
      <c r="A1" s="34" t="s">
        <v>100</v>
      </c>
    </row>
    <row r="2" spans="1:34">
      <c r="C2" s="34" t="s">
        <v>76</v>
      </c>
      <c r="D2" s="34">
        <v>100</v>
      </c>
      <c r="E2" s="34" t="s">
        <v>77</v>
      </c>
      <c r="F2" s="339" t="s">
        <v>949</v>
      </c>
      <c r="G2" s="339"/>
      <c r="H2" s="339"/>
      <c r="I2" s="339"/>
      <c r="N2" s="339" t="s">
        <v>921</v>
      </c>
      <c r="O2" s="339"/>
      <c r="P2" s="339"/>
    </row>
    <row r="3" spans="1:34">
      <c r="C3" s="34" t="s">
        <v>78</v>
      </c>
      <c r="D3" s="34">
        <v>30</v>
      </c>
      <c r="E3" s="34" t="s">
        <v>77</v>
      </c>
      <c r="F3" s="354">
        <f>[5]Efficacy!$R$27/[5]Efficacy!$U$27</f>
        <v>0.84313725490196079</v>
      </c>
      <c r="G3" s="339"/>
      <c r="H3" s="339"/>
      <c r="I3" s="339"/>
      <c r="N3" s="352">
        <f>[5]Prices!$U$21</f>
        <v>0.81005788606478368</v>
      </c>
      <c r="O3" s="339"/>
      <c r="P3" s="339"/>
    </row>
    <row r="4" spans="1:34">
      <c r="C4" s="34" t="s">
        <v>79</v>
      </c>
      <c r="D4" s="34">
        <f>SUM(D2:D3)</f>
        <v>130</v>
      </c>
      <c r="E4" s="34" t="s">
        <v>77</v>
      </c>
    </row>
    <row r="5" spans="1:34">
      <c r="A5" s="34">
        <f>COLUMN()</f>
        <v>1</v>
      </c>
      <c r="B5" s="34">
        <f>COLUMN()</f>
        <v>2</v>
      </c>
      <c r="C5" s="34">
        <f>COLUMN()</f>
        <v>3</v>
      </c>
      <c r="D5" s="34">
        <f>COLUMN()</f>
        <v>4</v>
      </c>
      <c r="E5" s="34">
        <f>COLUMN()</f>
        <v>5</v>
      </c>
      <c r="G5" s="34">
        <f>COLUMN()</f>
        <v>7</v>
      </c>
      <c r="H5" s="34">
        <f>COLUMN()</f>
        <v>8</v>
      </c>
      <c r="I5" s="34">
        <f>COLUMN()</f>
        <v>9</v>
      </c>
      <c r="J5" s="34">
        <f>COLUMN()</f>
        <v>10</v>
      </c>
      <c r="K5" s="34">
        <f>COLUMN()</f>
        <v>11</v>
      </c>
      <c r="L5" s="34">
        <f>COLUMN()</f>
        <v>12</v>
      </c>
      <c r="M5" s="34">
        <f>COLUMN()</f>
        <v>13</v>
      </c>
      <c r="N5" s="34">
        <f>COLUMN()</f>
        <v>14</v>
      </c>
      <c r="O5" s="34">
        <f>COLUMN()</f>
        <v>15</v>
      </c>
      <c r="P5" s="34">
        <f>COLUMN()</f>
        <v>16</v>
      </c>
      <c r="Q5" s="34">
        <f>COLUMN()</f>
        <v>17</v>
      </c>
      <c r="R5" s="34">
        <f>COLUMN()</f>
        <v>18</v>
      </c>
      <c r="S5" s="34">
        <f>COLUMN()</f>
        <v>19</v>
      </c>
      <c r="T5" s="34">
        <f>COLUMN()</f>
        <v>20</v>
      </c>
      <c r="U5" s="34">
        <f>COLUMN()</f>
        <v>21</v>
      </c>
      <c r="V5" s="34">
        <f>COLUMN()</f>
        <v>22</v>
      </c>
      <c r="W5" s="34">
        <f>COLUMN()</f>
        <v>23</v>
      </c>
      <c r="X5" s="34">
        <f>COLUMN()</f>
        <v>24</v>
      </c>
      <c r="Y5" s="34">
        <f>COLUMN()</f>
        <v>25</v>
      </c>
      <c r="Z5" s="34">
        <f>COLUMN()</f>
        <v>26</v>
      </c>
      <c r="AA5" s="34">
        <f>COLUMN()</f>
        <v>27</v>
      </c>
      <c r="AB5" s="34">
        <f>COLUMN()</f>
        <v>28</v>
      </c>
      <c r="AC5" s="34">
        <f>COLUMN()</f>
        <v>29</v>
      </c>
      <c r="AD5" s="34">
        <f>COLUMN()</f>
        <v>30</v>
      </c>
      <c r="AE5" s="34">
        <f>COLUMN()</f>
        <v>31</v>
      </c>
      <c r="AF5" s="34">
        <f>COLUMN()</f>
        <v>32</v>
      </c>
      <c r="AG5" s="34">
        <f>COLUMN()</f>
        <v>33</v>
      </c>
      <c r="AH5" s="34">
        <f>COLUMN()</f>
        <v>34</v>
      </c>
    </row>
    <row r="6" spans="1:34" s="52" customFormat="1" ht="76.5">
      <c r="A6" s="178" t="s">
        <v>39</v>
      </c>
      <c r="B6" s="178" t="s">
        <v>40</v>
      </c>
      <c r="C6" s="178" t="s">
        <v>80</v>
      </c>
      <c r="D6" s="178" t="s">
        <v>81</v>
      </c>
      <c r="E6" s="178" t="s">
        <v>82</v>
      </c>
      <c r="F6" s="356" t="s">
        <v>948</v>
      </c>
      <c r="G6" s="178" t="s">
        <v>83</v>
      </c>
      <c r="H6" s="178" t="s">
        <v>84</v>
      </c>
      <c r="I6" s="178" t="s">
        <v>946</v>
      </c>
      <c r="J6" s="353" t="s">
        <v>947</v>
      </c>
      <c r="K6" s="178" t="s">
        <v>85</v>
      </c>
      <c r="L6" s="178" t="s">
        <v>86</v>
      </c>
      <c r="M6" s="178" t="s">
        <v>866</v>
      </c>
      <c r="N6" s="356" t="s">
        <v>865</v>
      </c>
      <c r="O6" s="178" t="s">
        <v>87</v>
      </c>
      <c r="P6" s="178" t="s">
        <v>88</v>
      </c>
      <c r="Q6" s="178" t="s">
        <v>89</v>
      </c>
      <c r="R6" s="178" t="s">
        <v>90</v>
      </c>
      <c r="S6" s="178" t="s">
        <v>91</v>
      </c>
      <c r="T6" s="178" t="s">
        <v>92</v>
      </c>
      <c r="U6" s="178" t="s">
        <v>93</v>
      </c>
      <c r="V6" s="178" t="s">
        <v>94</v>
      </c>
      <c r="W6" s="178" t="s">
        <v>95</v>
      </c>
      <c r="X6" s="178" t="s">
        <v>96</v>
      </c>
      <c r="Y6" s="178" t="s">
        <v>987</v>
      </c>
      <c r="Z6" s="178" t="s">
        <v>97</v>
      </c>
      <c r="AA6" s="178" t="s">
        <v>98</v>
      </c>
      <c r="AB6" s="178" t="s">
        <v>99</v>
      </c>
      <c r="AC6" s="178" t="s">
        <v>506</v>
      </c>
      <c r="AD6" s="178" t="s">
        <v>56</v>
      </c>
      <c r="AE6" s="178" t="s">
        <v>511</v>
      </c>
      <c r="AF6" s="178" t="s">
        <v>509</v>
      </c>
      <c r="AG6" s="178" t="s">
        <v>510</v>
      </c>
      <c r="AH6" s="178" t="s">
        <v>512</v>
      </c>
    </row>
    <row r="7" spans="1:34">
      <c r="A7" s="34" t="s">
        <v>71</v>
      </c>
      <c r="C7" s="106" t="s">
        <v>513</v>
      </c>
      <c r="D7" s="106">
        <v>28.5</v>
      </c>
      <c r="E7" s="106">
        <v>121</v>
      </c>
      <c r="F7" s="106">
        <f>E7</f>
        <v>121</v>
      </c>
      <c r="G7" s="106">
        <v>9500</v>
      </c>
      <c r="H7" s="106">
        <v>6900</v>
      </c>
      <c r="I7" s="54">
        <f t="shared" ref="I7:I18" si="0">G7/E7</f>
        <v>78.512396694214871</v>
      </c>
      <c r="J7" s="49"/>
      <c r="K7" s="34">
        <v>1</v>
      </c>
      <c r="L7" s="34">
        <v>1</v>
      </c>
      <c r="M7" s="35">
        <f>VLOOKUP(A7,Pricing!$B$73:$C$84,2,FALSE)</f>
        <v>122</v>
      </c>
      <c r="N7" s="35">
        <v>122</v>
      </c>
      <c r="P7" s="55">
        <v>24000</v>
      </c>
      <c r="Q7" s="46">
        <v>12</v>
      </c>
      <c r="R7" s="34">
        <v>0.33</v>
      </c>
      <c r="S7" s="54">
        <f>Q7+(R7*$D$4)</f>
        <v>54.9</v>
      </c>
      <c r="T7" s="44">
        <v>260</v>
      </c>
      <c r="U7" s="34">
        <v>2014</v>
      </c>
      <c r="V7" s="34">
        <v>4300</v>
      </c>
      <c r="W7" s="54">
        <f t="shared" ref="W7:W8" si="1">E7*V7/1000</f>
        <v>520.29999999999995</v>
      </c>
      <c r="X7" s="43">
        <f t="shared" ref="X7:X8" si="2">P7/V7</f>
        <v>5.5813953488372094</v>
      </c>
      <c r="Y7" s="40">
        <v>5</v>
      </c>
      <c r="Z7" s="34" t="s">
        <v>505</v>
      </c>
      <c r="AA7" s="56">
        <f t="shared" ref="AA7:AA18" si="3">N7/(G7*P7)*1000000</f>
        <v>0.53508771929824561</v>
      </c>
      <c r="AB7" s="51">
        <f t="shared" ref="AB7:AB18" si="4">N7/E7</f>
        <v>1.0082644628099173</v>
      </c>
      <c r="AC7" s="224">
        <f>N7/H7*1000</f>
        <v>17.681159420289852</v>
      </c>
    </row>
    <row r="8" spans="1:34">
      <c r="A8" s="34" t="s">
        <v>71</v>
      </c>
      <c r="C8" s="106" t="s">
        <v>778</v>
      </c>
      <c r="D8" s="106">
        <v>28.5</v>
      </c>
      <c r="E8" s="106">
        <v>121</v>
      </c>
      <c r="F8" s="106">
        <f t="shared" ref="F8:F18" si="5">E8</f>
        <v>121</v>
      </c>
      <c r="G8" s="106">
        <v>9500</v>
      </c>
      <c r="H8" s="106">
        <v>6900</v>
      </c>
      <c r="I8" s="54">
        <f t="shared" si="0"/>
        <v>78.512396694214871</v>
      </c>
      <c r="J8" s="49"/>
      <c r="K8" s="34">
        <v>1</v>
      </c>
      <c r="L8" s="34">
        <v>1</v>
      </c>
      <c r="M8" s="35">
        <f>VLOOKUP(A8,Pricing!$B$73:$C$84,2,FALSE)</f>
        <v>122</v>
      </c>
      <c r="N8" s="35">
        <v>122</v>
      </c>
      <c r="P8" s="55">
        <v>24000</v>
      </c>
      <c r="Q8" s="46">
        <v>12</v>
      </c>
      <c r="R8" s="51">
        <v>1</v>
      </c>
      <c r="S8" s="34">
        <f>Q8+(R8*$D$4)</f>
        <v>142</v>
      </c>
      <c r="T8" s="44">
        <v>260</v>
      </c>
      <c r="U8" s="34">
        <v>2014</v>
      </c>
      <c r="V8" s="34">
        <v>4300</v>
      </c>
      <c r="W8" s="54">
        <f t="shared" si="1"/>
        <v>520.29999999999995</v>
      </c>
      <c r="X8" s="43">
        <f t="shared" si="2"/>
        <v>5.5813953488372094</v>
      </c>
      <c r="Y8" s="40">
        <v>5</v>
      </c>
      <c r="Z8" s="34" t="s">
        <v>505</v>
      </c>
      <c r="AA8" s="56">
        <f t="shared" si="3"/>
        <v>0.53508771929824561</v>
      </c>
      <c r="AB8" s="51">
        <f t="shared" si="4"/>
        <v>1.0082644628099173</v>
      </c>
      <c r="AC8" s="224">
        <f t="shared" ref="AC8:AC18" si="6">N8/H8*1000</f>
        <v>17.681159420289852</v>
      </c>
    </row>
    <row r="9" spans="1:34">
      <c r="A9" s="34" t="s">
        <v>71</v>
      </c>
      <c r="C9" s="106" t="s">
        <v>513</v>
      </c>
      <c r="D9" s="106">
        <v>28.5</v>
      </c>
      <c r="E9" s="106">
        <v>121</v>
      </c>
      <c r="F9" s="106">
        <f t="shared" si="5"/>
        <v>121</v>
      </c>
      <c r="G9" s="106">
        <v>9500</v>
      </c>
      <c r="H9" s="106">
        <v>6900</v>
      </c>
      <c r="I9" s="54">
        <f t="shared" ref="I9:I10" si="7">G9/E9</f>
        <v>78.512396694214871</v>
      </c>
      <c r="J9" s="49"/>
      <c r="K9" s="34">
        <v>1</v>
      </c>
      <c r="L9" s="34">
        <v>1</v>
      </c>
      <c r="M9" s="35">
        <f>VLOOKUP(A9,Pricing!$B$73:$C$84,2,FALSE)</f>
        <v>122</v>
      </c>
      <c r="N9" s="35">
        <v>122</v>
      </c>
      <c r="P9" s="55">
        <v>24000</v>
      </c>
      <c r="Q9" s="46">
        <v>12</v>
      </c>
      <c r="R9" s="34">
        <v>0.33</v>
      </c>
      <c r="S9" s="54">
        <f>Q9+(R9*$D$4)</f>
        <v>54.9</v>
      </c>
      <c r="T9" s="44">
        <v>260</v>
      </c>
      <c r="U9" s="34">
        <v>2014</v>
      </c>
      <c r="V9" s="34">
        <v>4300</v>
      </c>
      <c r="W9" s="54">
        <f t="shared" ref="W9:W10" si="8">E9*V9/1000</f>
        <v>520.29999999999995</v>
      </c>
      <c r="X9" s="43">
        <f t="shared" ref="X9:X10" si="9">P9/V9</f>
        <v>5.5813953488372094</v>
      </c>
      <c r="Y9" s="40">
        <v>5</v>
      </c>
      <c r="Z9" s="34" t="s">
        <v>505</v>
      </c>
      <c r="AA9" s="56">
        <f t="shared" ref="AA9:AA10" si="10">N9/(G9*P9)*1000000</f>
        <v>0.53508771929824561</v>
      </c>
      <c r="AB9" s="51">
        <f t="shared" ref="AB9:AB10" si="11">N9/E9</f>
        <v>1.0082644628099173</v>
      </c>
      <c r="AC9" s="224">
        <f>N9/H9*1000</f>
        <v>17.681159420289852</v>
      </c>
    </row>
    <row r="10" spans="1:34">
      <c r="A10" s="34" t="s">
        <v>71</v>
      </c>
      <c r="C10" s="106" t="s">
        <v>778</v>
      </c>
      <c r="D10" s="106">
        <v>28.5</v>
      </c>
      <c r="E10" s="106">
        <v>121</v>
      </c>
      <c r="F10" s="106">
        <f t="shared" si="5"/>
        <v>121</v>
      </c>
      <c r="G10" s="106">
        <v>9500</v>
      </c>
      <c r="H10" s="106">
        <v>6900</v>
      </c>
      <c r="I10" s="54">
        <f t="shared" si="7"/>
        <v>78.512396694214871</v>
      </c>
      <c r="J10" s="49"/>
      <c r="K10" s="34">
        <v>1</v>
      </c>
      <c r="L10" s="34">
        <v>1</v>
      </c>
      <c r="M10" s="35">
        <f>VLOOKUP(A10,Pricing!$B$73:$C$84,2,FALSE)</f>
        <v>122</v>
      </c>
      <c r="N10" s="35">
        <v>122</v>
      </c>
      <c r="P10" s="55">
        <v>24000</v>
      </c>
      <c r="Q10" s="46">
        <v>12</v>
      </c>
      <c r="R10" s="51">
        <v>1</v>
      </c>
      <c r="S10" s="34">
        <f>Q10+(R10*$D$4)</f>
        <v>142</v>
      </c>
      <c r="T10" s="44">
        <v>260</v>
      </c>
      <c r="U10" s="34">
        <v>2014</v>
      </c>
      <c r="V10" s="34">
        <v>4300</v>
      </c>
      <c r="W10" s="54">
        <f t="shared" si="8"/>
        <v>520.29999999999995</v>
      </c>
      <c r="X10" s="43">
        <f t="shared" si="9"/>
        <v>5.5813953488372094</v>
      </c>
      <c r="Y10" s="40">
        <v>5</v>
      </c>
      <c r="Z10" s="34" t="s">
        <v>505</v>
      </c>
      <c r="AA10" s="56">
        <f t="shared" si="10"/>
        <v>0.53508771929824561</v>
      </c>
      <c r="AB10" s="51">
        <f t="shared" si="11"/>
        <v>1.0082644628099173</v>
      </c>
      <c r="AC10" s="224">
        <f t="shared" ref="AC10" si="12">N10/H10*1000</f>
        <v>17.681159420289852</v>
      </c>
    </row>
    <row r="11" spans="1:34">
      <c r="A11" s="34" t="s">
        <v>524</v>
      </c>
      <c r="C11" s="106" t="s">
        <v>525</v>
      </c>
      <c r="D11" s="106"/>
      <c r="E11" s="106">
        <v>230</v>
      </c>
      <c r="F11" s="106">
        <f t="shared" si="5"/>
        <v>230</v>
      </c>
      <c r="G11" s="106">
        <v>22000</v>
      </c>
      <c r="H11" s="106">
        <v>16000</v>
      </c>
      <c r="I11" s="54">
        <f t="shared" si="0"/>
        <v>95.652173913043484</v>
      </c>
      <c r="J11" s="49"/>
      <c r="K11" s="34">
        <v>1</v>
      </c>
      <c r="L11" s="34">
        <v>1</v>
      </c>
      <c r="M11" s="35">
        <f>VLOOKUP(A11,Pricing!$B$73:$C$84,2,FALSE)</f>
        <v>160</v>
      </c>
      <c r="N11" s="35">
        <v>160</v>
      </c>
      <c r="P11" s="55">
        <v>24000</v>
      </c>
      <c r="Q11" s="288">
        <v>15</v>
      </c>
      <c r="R11" s="34">
        <v>0.33</v>
      </c>
      <c r="S11" s="54">
        <f t="shared" ref="S11:S18" si="13">Q11+(R11*$D$4)</f>
        <v>57.9</v>
      </c>
      <c r="T11" s="46"/>
      <c r="U11" s="34">
        <v>2014</v>
      </c>
      <c r="V11" s="34">
        <v>4300</v>
      </c>
      <c r="W11" s="54">
        <f t="shared" ref="W11:W18" si="14">E11*V11/1000</f>
        <v>989</v>
      </c>
      <c r="X11" s="43">
        <f t="shared" ref="X11:X18" si="15">P11/V11</f>
        <v>5.5813953488372094</v>
      </c>
      <c r="Y11" s="40">
        <v>5</v>
      </c>
      <c r="Z11" s="34" t="s">
        <v>505</v>
      </c>
      <c r="AA11" s="56">
        <f t="shared" si="3"/>
        <v>0.30303030303030304</v>
      </c>
      <c r="AB11" s="51">
        <f t="shared" si="4"/>
        <v>0.69565217391304346</v>
      </c>
      <c r="AC11" s="224">
        <f t="shared" si="6"/>
        <v>10</v>
      </c>
    </row>
    <row r="12" spans="1:34">
      <c r="A12" s="34" t="s">
        <v>524</v>
      </c>
      <c r="C12" s="106" t="s">
        <v>779</v>
      </c>
      <c r="D12" s="106"/>
      <c r="E12" s="106">
        <v>230</v>
      </c>
      <c r="F12" s="106">
        <f t="shared" si="5"/>
        <v>230</v>
      </c>
      <c r="G12" s="106">
        <v>22000</v>
      </c>
      <c r="H12" s="106">
        <v>16000</v>
      </c>
      <c r="I12" s="54">
        <f t="shared" si="0"/>
        <v>95.652173913043484</v>
      </c>
      <c r="J12" s="49"/>
      <c r="K12" s="34">
        <v>1</v>
      </c>
      <c r="L12" s="34">
        <v>1</v>
      </c>
      <c r="M12" s="35">
        <f>VLOOKUP(A12,Pricing!$B$73:$C$84,2,FALSE)</f>
        <v>160</v>
      </c>
      <c r="N12" s="35">
        <v>160</v>
      </c>
      <c r="P12" s="55">
        <v>24000</v>
      </c>
      <c r="Q12" s="288">
        <v>15</v>
      </c>
      <c r="R12" s="51">
        <v>1</v>
      </c>
      <c r="S12" s="34">
        <f t="shared" si="13"/>
        <v>145</v>
      </c>
      <c r="T12" s="46"/>
      <c r="U12" s="34">
        <v>2014</v>
      </c>
      <c r="V12" s="34">
        <v>4300</v>
      </c>
      <c r="W12" s="54">
        <f t="shared" si="14"/>
        <v>989</v>
      </c>
      <c r="X12" s="43">
        <f t="shared" si="15"/>
        <v>5.5813953488372094</v>
      </c>
      <c r="Y12" s="40">
        <v>5</v>
      </c>
      <c r="Z12" s="34" t="s">
        <v>505</v>
      </c>
      <c r="AA12" s="56">
        <f t="shared" si="3"/>
        <v>0.30303030303030304</v>
      </c>
      <c r="AB12" s="51">
        <f t="shared" si="4"/>
        <v>0.69565217391304346</v>
      </c>
      <c r="AC12" s="224">
        <f t="shared" si="6"/>
        <v>10</v>
      </c>
    </row>
    <row r="13" spans="1:34">
      <c r="A13" s="34" t="s">
        <v>520</v>
      </c>
      <c r="C13" s="106" t="s">
        <v>514</v>
      </c>
      <c r="E13" s="34">
        <v>290</v>
      </c>
      <c r="F13" s="106">
        <f t="shared" si="5"/>
        <v>290</v>
      </c>
      <c r="G13" s="34">
        <v>29000</v>
      </c>
      <c r="H13" s="34">
        <v>21000</v>
      </c>
      <c r="I13" s="54">
        <f t="shared" si="0"/>
        <v>100</v>
      </c>
      <c r="J13" s="49"/>
      <c r="K13" s="34">
        <v>1</v>
      </c>
      <c r="L13" s="34">
        <v>1</v>
      </c>
      <c r="M13" s="35">
        <f>VLOOKUP(A13,Pricing!$B$73:$C$84,2,FALSE)</f>
        <v>160</v>
      </c>
      <c r="N13" s="35">
        <v>160</v>
      </c>
      <c r="P13" s="55">
        <v>24000</v>
      </c>
      <c r="Q13" s="288">
        <v>15</v>
      </c>
      <c r="R13" s="34">
        <v>0.33</v>
      </c>
      <c r="S13" s="54">
        <f t="shared" si="13"/>
        <v>57.9</v>
      </c>
      <c r="U13" s="34">
        <v>2014</v>
      </c>
      <c r="V13" s="34">
        <v>4300</v>
      </c>
      <c r="W13" s="54">
        <f t="shared" si="14"/>
        <v>1247</v>
      </c>
      <c r="X13" s="43">
        <f t="shared" si="15"/>
        <v>5.5813953488372094</v>
      </c>
      <c r="Y13" s="40">
        <v>5</v>
      </c>
      <c r="Z13" s="34" t="s">
        <v>505</v>
      </c>
      <c r="AA13" s="56">
        <f t="shared" si="3"/>
        <v>0.22988505747126436</v>
      </c>
      <c r="AB13" s="51">
        <f t="shared" si="4"/>
        <v>0.55172413793103448</v>
      </c>
      <c r="AC13" s="224">
        <f t="shared" si="6"/>
        <v>7.6190476190476186</v>
      </c>
    </row>
    <row r="14" spans="1:34">
      <c r="A14" s="34" t="s">
        <v>520</v>
      </c>
      <c r="C14" s="106" t="s">
        <v>780</v>
      </c>
      <c r="E14" s="34">
        <v>290</v>
      </c>
      <c r="F14" s="106">
        <f t="shared" si="5"/>
        <v>290</v>
      </c>
      <c r="G14" s="34">
        <v>29000</v>
      </c>
      <c r="H14" s="34">
        <v>21000</v>
      </c>
      <c r="I14" s="54">
        <f t="shared" si="0"/>
        <v>100</v>
      </c>
      <c r="J14" s="49"/>
      <c r="K14" s="34">
        <v>1</v>
      </c>
      <c r="L14" s="34">
        <v>1</v>
      </c>
      <c r="M14" s="35">
        <f>VLOOKUP(A14,Pricing!$B$73:$C$84,2,FALSE)</f>
        <v>160</v>
      </c>
      <c r="N14" s="35">
        <v>160</v>
      </c>
      <c r="P14" s="55">
        <v>24000</v>
      </c>
      <c r="Q14" s="288">
        <v>15</v>
      </c>
      <c r="R14" s="51">
        <v>1</v>
      </c>
      <c r="S14" s="34">
        <f t="shared" si="13"/>
        <v>145</v>
      </c>
      <c r="U14" s="34">
        <v>2014</v>
      </c>
      <c r="V14" s="34">
        <v>4300</v>
      </c>
      <c r="W14" s="54">
        <f t="shared" si="14"/>
        <v>1247</v>
      </c>
      <c r="X14" s="43">
        <f t="shared" si="15"/>
        <v>5.5813953488372094</v>
      </c>
      <c r="Y14" s="40">
        <v>5</v>
      </c>
      <c r="Z14" s="34" t="s">
        <v>505</v>
      </c>
      <c r="AA14" s="56">
        <f t="shared" si="3"/>
        <v>0.22988505747126436</v>
      </c>
      <c r="AB14" s="51">
        <f t="shared" si="4"/>
        <v>0.55172413793103448</v>
      </c>
      <c r="AC14" s="224">
        <f t="shared" si="6"/>
        <v>7.6190476190476186</v>
      </c>
    </row>
    <row r="15" spans="1:34">
      <c r="A15" s="34" t="s">
        <v>521</v>
      </c>
      <c r="C15" s="106" t="s">
        <v>503</v>
      </c>
      <c r="E15" s="34">
        <v>458</v>
      </c>
      <c r="F15" s="106">
        <f t="shared" si="5"/>
        <v>458</v>
      </c>
      <c r="G15" s="34">
        <v>40000</v>
      </c>
      <c r="H15" s="34">
        <v>25000</v>
      </c>
      <c r="I15" s="54">
        <f t="shared" si="0"/>
        <v>87.336244541484717</v>
      </c>
      <c r="J15" s="49"/>
      <c r="K15" s="34">
        <v>1</v>
      </c>
      <c r="L15" s="34">
        <v>1</v>
      </c>
      <c r="M15" s="35">
        <f>VLOOKUP(A15,Pricing!$B$73:$C$84,2,FALSE)</f>
        <v>190</v>
      </c>
      <c r="N15" s="35">
        <v>190</v>
      </c>
      <c r="P15" s="57">
        <v>16000</v>
      </c>
      <c r="Q15" s="288">
        <v>18</v>
      </c>
      <c r="R15" s="34">
        <v>0.33</v>
      </c>
      <c r="S15" s="54">
        <f t="shared" si="13"/>
        <v>60.9</v>
      </c>
      <c r="U15" s="34">
        <v>2014</v>
      </c>
      <c r="V15" s="34">
        <v>4300</v>
      </c>
      <c r="W15" s="54">
        <f t="shared" si="14"/>
        <v>1969.4</v>
      </c>
      <c r="X15" s="43">
        <f t="shared" si="15"/>
        <v>3.7209302325581395</v>
      </c>
      <c r="Y15" s="40">
        <v>4</v>
      </c>
      <c r="Z15" s="34" t="s">
        <v>505</v>
      </c>
      <c r="AA15" s="56">
        <f t="shared" si="3"/>
        <v>0.296875</v>
      </c>
      <c r="AB15" s="51">
        <f t="shared" si="4"/>
        <v>0.41484716157205243</v>
      </c>
      <c r="AC15" s="224">
        <f t="shared" si="6"/>
        <v>7.6</v>
      </c>
    </row>
    <row r="16" spans="1:34">
      <c r="A16" s="34" t="s">
        <v>521</v>
      </c>
      <c r="C16" s="106" t="s">
        <v>781</v>
      </c>
      <c r="E16" s="34">
        <v>458</v>
      </c>
      <c r="F16" s="106">
        <f t="shared" si="5"/>
        <v>458</v>
      </c>
      <c r="G16" s="34">
        <v>40000</v>
      </c>
      <c r="H16" s="34">
        <v>25000</v>
      </c>
      <c r="I16" s="54">
        <f t="shared" si="0"/>
        <v>87.336244541484717</v>
      </c>
      <c r="J16" s="49"/>
      <c r="K16" s="34">
        <v>1</v>
      </c>
      <c r="L16" s="34">
        <v>1</v>
      </c>
      <c r="M16" s="35">
        <f>VLOOKUP(A16,Pricing!$B$73:$C$84,2,FALSE)</f>
        <v>190</v>
      </c>
      <c r="N16" s="35">
        <v>190</v>
      </c>
      <c r="P16" s="57">
        <v>16000</v>
      </c>
      <c r="Q16" s="288">
        <v>18</v>
      </c>
      <c r="R16" s="51">
        <v>1</v>
      </c>
      <c r="S16" s="34">
        <f t="shared" si="13"/>
        <v>148</v>
      </c>
      <c r="U16" s="34">
        <v>2014</v>
      </c>
      <c r="V16" s="34">
        <v>4300</v>
      </c>
      <c r="W16" s="54">
        <f t="shared" si="14"/>
        <v>1969.4</v>
      </c>
      <c r="X16" s="43">
        <f t="shared" si="15"/>
        <v>3.7209302325581395</v>
      </c>
      <c r="Y16" s="40">
        <v>4</v>
      </c>
      <c r="Z16" s="34" t="s">
        <v>505</v>
      </c>
      <c r="AA16" s="56">
        <f t="shared" si="3"/>
        <v>0.296875</v>
      </c>
      <c r="AB16" s="51">
        <f t="shared" si="4"/>
        <v>0.41484716157205243</v>
      </c>
      <c r="AC16" s="224">
        <f t="shared" si="6"/>
        <v>7.6</v>
      </c>
    </row>
    <row r="17" spans="1:34">
      <c r="A17" s="34" t="s">
        <v>522</v>
      </c>
      <c r="C17" s="106" t="s">
        <v>504</v>
      </c>
      <c r="E17" s="34">
        <v>1100</v>
      </c>
      <c r="F17" s="106">
        <f t="shared" si="5"/>
        <v>1100</v>
      </c>
      <c r="G17" s="34">
        <v>110000</v>
      </c>
      <c r="H17" s="34">
        <v>67000</v>
      </c>
      <c r="I17" s="54">
        <f t="shared" si="0"/>
        <v>100</v>
      </c>
      <c r="J17" s="49"/>
      <c r="K17" s="34">
        <v>1</v>
      </c>
      <c r="L17" s="34">
        <v>1</v>
      </c>
      <c r="M17" s="35">
        <f>VLOOKUP(A17,Pricing!$B$73:$C$84,2,FALSE)</f>
        <v>440</v>
      </c>
      <c r="N17" s="35">
        <v>440</v>
      </c>
      <c r="P17" s="57">
        <v>16000</v>
      </c>
      <c r="Q17" s="288">
        <v>20</v>
      </c>
      <c r="R17" s="34">
        <v>0.33</v>
      </c>
      <c r="S17" s="54">
        <f t="shared" si="13"/>
        <v>62.9</v>
      </c>
      <c r="U17" s="34">
        <v>2014</v>
      </c>
      <c r="V17" s="34">
        <v>4300</v>
      </c>
      <c r="W17" s="54">
        <f t="shared" si="14"/>
        <v>4730</v>
      </c>
      <c r="X17" s="43">
        <f t="shared" si="15"/>
        <v>3.7209302325581395</v>
      </c>
      <c r="Y17" s="40">
        <v>4</v>
      </c>
      <c r="Z17" s="34" t="s">
        <v>505</v>
      </c>
      <c r="AA17" s="56">
        <f t="shared" si="3"/>
        <v>0.25</v>
      </c>
      <c r="AB17" s="51">
        <f t="shared" si="4"/>
        <v>0.4</v>
      </c>
      <c r="AC17" s="224">
        <f t="shared" si="6"/>
        <v>6.567164179104477</v>
      </c>
    </row>
    <row r="18" spans="1:34">
      <c r="A18" s="34" t="s">
        <v>522</v>
      </c>
      <c r="C18" s="106" t="s">
        <v>782</v>
      </c>
      <c r="E18" s="34">
        <v>1100</v>
      </c>
      <c r="F18" s="106">
        <f t="shared" si="5"/>
        <v>1100</v>
      </c>
      <c r="G18" s="34">
        <v>110000</v>
      </c>
      <c r="H18" s="34">
        <v>67000</v>
      </c>
      <c r="I18" s="54">
        <f t="shared" si="0"/>
        <v>100</v>
      </c>
      <c r="K18" s="34">
        <v>1</v>
      </c>
      <c r="L18" s="34">
        <v>1</v>
      </c>
      <c r="M18" s="35">
        <f>VLOOKUP(A18,Pricing!$B$73:$C$84,2,FALSE)</f>
        <v>440</v>
      </c>
      <c r="N18" s="35">
        <v>440</v>
      </c>
      <c r="P18" s="57">
        <v>16000</v>
      </c>
      <c r="Q18" s="288">
        <v>20</v>
      </c>
      <c r="R18" s="51">
        <v>1</v>
      </c>
      <c r="S18" s="34">
        <f t="shared" si="13"/>
        <v>150</v>
      </c>
      <c r="U18" s="34">
        <v>2014</v>
      </c>
      <c r="V18" s="34">
        <v>4300</v>
      </c>
      <c r="W18" s="54">
        <f t="shared" si="14"/>
        <v>4730</v>
      </c>
      <c r="X18" s="43">
        <f t="shared" si="15"/>
        <v>3.7209302325581395</v>
      </c>
      <c r="Y18" s="40">
        <v>4</v>
      </c>
      <c r="Z18" s="34" t="s">
        <v>505</v>
      </c>
      <c r="AA18" s="56">
        <f t="shared" si="3"/>
        <v>0.25</v>
      </c>
      <c r="AB18" s="51">
        <f t="shared" si="4"/>
        <v>0.4</v>
      </c>
      <c r="AC18" s="224">
        <f t="shared" si="6"/>
        <v>6.567164179104477</v>
      </c>
    </row>
    <row r="19" spans="1:34">
      <c r="B19" s="34" t="str">
        <f>CONCATENATE("LED ",E19,"W")</f>
        <v>LED 42W</v>
      </c>
      <c r="C19" s="106" t="s">
        <v>515</v>
      </c>
      <c r="E19" s="106">
        <v>42</v>
      </c>
      <c r="F19" s="355">
        <f>E19*$F$3</f>
        <v>35.411764705882355</v>
      </c>
      <c r="H19" s="106">
        <v>4100</v>
      </c>
      <c r="J19" s="54">
        <f>H19/E19</f>
        <v>97.61904761904762</v>
      </c>
      <c r="M19" s="35">
        <f>VLOOKUP(B19,Pricing!$B$73:$C$84,2,FALSE)</f>
        <v>140</v>
      </c>
      <c r="N19" s="54">
        <f t="shared" ref="N19:N30" si="16">M19*$N$3</f>
        <v>113.40810404906972</v>
      </c>
      <c r="P19" s="57">
        <v>70000</v>
      </c>
      <c r="V19" s="34">
        <v>4300</v>
      </c>
      <c r="W19" s="54">
        <f t="shared" ref="W19:W30" si="17">E19*V19/1000</f>
        <v>180.6</v>
      </c>
      <c r="X19" s="43">
        <f t="shared" ref="X19:X30" si="18">P19/V19</f>
        <v>16.279069767441861</v>
      </c>
      <c r="Y19" s="40">
        <v>15</v>
      </c>
      <c r="AA19" s="56">
        <f>N19/(H19*P19)*1000000</f>
        <v>0.39515018832428472</v>
      </c>
      <c r="AB19" s="51">
        <f>N19/E19</f>
        <v>2.700192953549279</v>
      </c>
      <c r="AC19" s="224">
        <f>N19/H19*1000</f>
        <v>27.660513182699933</v>
      </c>
      <c r="AD19" s="34">
        <f>E7-E19</f>
        <v>79</v>
      </c>
      <c r="AE19" s="226">
        <f>1-(E19/E7)</f>
        <v>0.65289256198347112</v>
      </c>
      <c r="AF19" s="50">
        <f>(N19-N7)/AD19</f>
        <v>-0.10875817659405417</v>
      </c>
      <c r="AG19" s="50">
        <f>(N19)/AD19</f>
        <v>1.4355456208743003</v>
      </c>
      <c r="AH19" s="54">
        <f>W7-W19</f>
        <v>339.69999999999993</v>
      </c>
    </row>
    <row r="20" spans="1:34">
      <c r="B20" s="34" t="str">
        <f t="shared" ref="B20:B30" si="19">CONCATENATE("LED ",E20,"W")</f>
        <v>LED 42W</v>
      </c>
      <c r="C20" s="106" t="s">
        <v>783</v>
      </c>
      <c r="E20" s="106">
        <v>42</v>
      </c>
      <c r="F20" s="355">
        <f t="shared" ref="F20:F30" si="20">E20*$F$3</f>
        <v>35.411764705882355</v>
      </c>
      <c r="H20" s="106">
        <v>4100</v>
      </c>
      <c r="J20" s="54">
        <f t="shared" ref="J20:J30" si="21">H20/E20</f>
        <v>97.61904761904762</v>
      </c>
      <c r="M20" s="35">
        <f>VLOOKUP(B20,Pricing!$B$73:$C$84,2,FALSE)</f>
        <v>140</v>
      </c>
      <c r="N20" s="54">
        <f t="shared" si="16"/>
        <v>113.40810404906972</v>
      </c>
      <c r="P20" s="57">
        <v>70000</v>
      </c>
      <c r="V20" s="34">
        <v>4300</v>
      </c>
      <c r="W20" s="54">
        <f t="shared" si="17"/>
        <v>180.6</v>
      </c>
      <c r="X20" s="43">
        <f t="shared" si="18"/>
        <v>16.279069767441861</v>
      </c>
      <c r="Y20" s="40">
        <v>15</v>
      </c>
      <c r="AA20" s="56">
        <f t="shared" ref="AA20:AA30" si="22">N20/(H20*P20)*1000000</f>
        <v>0.39515018832428472</v>
      </c>
      <c r="AB20" s="51">
        <f t="shared" ref="AB20:AB30" si="23">N20/E20</f>
        <v>2.700192953549279</v>
      </c>
      <c r="AC20" s="224">
        <f t="shared" ref="AC20:AC30" si="24">N20/H20*1000</f>
        <v>27.660513182699933</v>
      </c>
      <c r="AD20" s="34">
        <f t="shared" ref="AD20:AD29" si="25">E8-E20</f>
        <v>79</v>
      </c>
      <c r="AE20" s="226">
        <f t="shared" ref="AE20:AE29" si="26">1-(E20/E8)</f>
        <v>0.65289256198347112</v>
      </c>
      <c r="AF20" s="50">
        <f t="shared" ref="AF20:AF30" si="27">(N20-N8)/AD20</f>
        <v>-0.10875817659405417</v>
      </c>
      <c r="AG20" s="50">
        <f t="shared" ref="AG20:AG30" si="28">(N20)/AD20</f>
        <v>1.4355456208743003</v>
      </c>
      <c r="AH20" s="54">
        <f t="shared" ref="AH20:AH30" si="29">W8-W20</f>
        <v>339.69999999999993</v>
      </c>
    </row>
    <row r="21" spans="1:34">
      <c r="B21" s="34" t="str">
        <f t="shared" si="19"/>
        <v>LED 58W</v>
      </c>
      <c r="C21" s="106" t="s">
        <v>515</v>
      </c>
      <c r="E21" s="106">
        <v>58</v>
      </c>
      <c r="F21" s="355">
        <f t="shared" si="20"/>
        <v>48.901960784313722</v>
      </c>
      <c r="H21" s="106">
        <v>5000</v>
      </c>
      <c r="J21" s="54">
        <f t="shared" si="21"/>
        <v>86.206896551724142</v>
      </c>
      <c r="M21" s="35">
        <f>VLOOKUP(B21,Pricing!$B$73:$C$84,2,FALSE)</f>
        <v>140</v>
      </c>
      <c r="N21" s="54">
        <f t="shared" si="16"/>
        <v>113.40810404906972</v>
      </c>
      <c r="P21" s="57">
        <v>70000</v>
      </c>
      <c r="V21" s="34">
        <v>4300</v>
      </c>
      <c r="W21" s="54">
        <f t="shared" si="17"/>
        <v>249.4</v>
      </c>
      <c r="X21" s="43">
        <f t="shared" si="18"/>
        <v>16.279069767441861</v>
      </c>
      <c r="Y21" s="40">
        <v>15</v>
      </c>
      <c r="AA21" s="56">
        <f t="shared" si="22"/>
        <v>0.32402315442591351</v>
      </c>
      <c r="AB21" s="51">
        <f t="shared" si="23"/>
        <v>1.9553121387770642</v>
      </c>
      <c r="AC21" s="224">
        <f t="shared" si="24"/>
        <v>22.681620809813946</v>
      </c>
      <c r="AD21" s="34">
        <f t="shared" si="25"/>
        <v>63</v>
      </c>
      <c r="AE21" s="226">
        <f t="shared" si="26"/>
        <v>0.52066115702479343</v>
      </c>
      <c r="AF21" s="50">
        <f t="shared" si="27"/>
        <v>-0.13637930080841715</v>
      </c>
      <c r="AG21" s="50">
        <f t="shared" si="28"/>
        <v>1.8001286356995194</v>
      </c>
      <c r="AH21" s="54">
        <f t="shared" si="29"/>
        <v>270.89999999999998</v>
      </c>
    </row>
    <row r="22" spans="1:34">
      <c r="B22" s="34" t="str">
        <f t="shared" si="19"/>
        <v>LED 58W</v>
      </c>
      <c r="C22" s="106" t="s">
        <v>783</v>
      </c>
      <c r="E22" s="106">
        <v>58</v>
      </c>
      <c r="F22" s="355">
        <f t="shared" si="20"/>
        <v>48.901960784313722</v>
      </c>
      <c r="H22" s="106">
        <v>5000</v>
      </c>
      <c r="J22" s="54">
        <f t="shared" si="21"/>
        <v>86.206896551724142</v>
      </c>
      <c r="M22" s="35">
        <f>VLOOKUP(B22,Pricing!$B$73:$C$84,2,FALSE)</f>
        <v>140</v>
      </c>
      <c r="N22" s="54">
        <f t="shared" si="16"/>
        <v>113.40810404906972</v>
      </c>
      <c r="P22" s="57">
        <v>70000</v>
      </c>
      <c r="V22" s="34">
        <v>4300</v>
      </c>
      <c r="W22" s="54">
        <f t="shared" si="17"/>
        <v>249.4</v>
      </c>
      <c r="X22" s="43">
        <f t="shared" si="18"/>
        <v>16.279069767441861</v>
      </c>
      <c r="Y22" s="40">
        <v>15</v>
      </c>
      <c r="AA22" s="56">
        <f t="shared" si="22"/>
        <v>0.32402315442591351</v>
      </c>
      <c r="AB22" s="51">
        <f t="shared" si="23"/>
        <v>1.9553121387770642</v>
      </c>
      <c r="AC22" s="224">
        <f t="shared" si="24"/>
        <v>22.681620809813946</v>
      </c>
      <c r="AD22" s="34">
        <f t="shared" si="25"/>
        <v>63</v>
      </c>
      <c r="AE22" s="226">
        <f t="shared" si="26"/>
        <v>0.52066115702479343</v>
      </c>
      <c r="AF22" s="50">
        <f t="shared" si="27"/>
        <v>-0.13637930080841715</v>
      </c>
      <c r="AG22" s="50">
        <f t="shared" si="28"/>
        <v>1.8001286356995194</v>
      </c>
      <c r="AH22" s="54">
        <f t="shared" si="29"/>
        <v>270.89999999999998</v>
      </c>
    </row>
    <row r="23" spans="1:34">
      <c r="B23" s="34" t="str">
        <f t="shared" si="19"/>
        <v>LED 135W</v>
      </c>
      <c r="C23" s="106" t="s">
        <v>516</v>
      </c>
      <c r="E23" s="106">
        <v>135</v>
      </c>
      <c r="F23" s="355">
        <f t="shared" si="20"/>
        <v>113.82352941176471</v>
      </c>
      <c r="H23" s="106">
        <v>12000</v>
      </c>
      <c r="J23" s="54">
        <f t="shared" si="21"/>
        <v>88.888888888888886</v>
      </c>
      <c r="M23" s="35">
        <f>VLOOKUP(B23,Pricing!$B$73:$C$84,2,FALSE)</f>
        <v>200</v>
      </c>
      <c r="N23" s="54">
        <f t="shared" si="16"/>
        <v>162.01157721295672</v>
      </c>
      <c r="P23" s="57">
        <v>70000</v>
      </c>
      <c r="V23" s="34">
        <v>4300</v>
      </c>
      <c r="W23" s="54">
        <f t="shared" si="17"/>
        <v>580.5</v>
      </c>
      <c r="X23" s="43">
        <f t="shared" si="18"/>
        <v>16.279069767441861</v>
      </c>
      <c r="Y23" s="40">
        <v>15</v>
      </c>
      <c r="AA23" s="56">
        <f t="shared" si="22"/>
        <v>0.1928709252535199</v>
      </c>
      <c r="AB23" s="51">
        <f t="shared" si="23"/>
        <v>1.2000857571330128</v>
      </c>
      <c r="AC23" s="224">
        <f t="shared" si="24"/>
        <v>13.500964767746392</v>
      </c>
      <c r="AD23" s="34">
        <f t="shared" si="25"/>
        <v>95</v>
      </c>
      <c r="AE23" s="226">
        <f t="shared" si="26"/>
        <v>0.41304347826086951</v>
      </c>
      <c r="AF23" s="50">
        <f t="shared" si="27"/>
        <v>2.1174496978491823E-2</v>
      </c>
      <c r="AG23" s="50">
        <f t="shared" si="28"/>
        <v>1.7053850232942813</v>
      </c>
      <c r="AH23" s="54">
        <f t="shared" si="29"/>
        <v>408.5</v>
      </c>
    </row>
    <row r="24" spans="1:34">
      <c r="B24" s="34" t="str">
        <f t="shared" si="19"/>
        <v>LED 135W</v>
      </c>
      <c r="C24" s="106" t="s">
        <v>784</v>
      </c>
      <c r="E24" s="106">
        <v>135</v>
      </c>
      <c r="F24" s="355">
        <f t="shared" si="20"/>
        <v>113.82352941176471</v>
      </c>
      <c r="H24" s="106">
        <v>12000</v>
      </c>
      <c r="J24" s="54">
        <f t="shared" si="21"/>
        <v>88.888888888888886</v>
      </c>
      <c r="M24" s="35">
        <f>VLOOKUP(B24,Pricing!$B$73:$C$84,2,FALSE)</f>
        <v>200</v>
      </c>
      <c r="N24" s="54">
        <f t="shared" si="16"/>
        <v>162.01157721295672</v>
      </c>
      <c r="P24" s="57">
        <v>70000</v>
      </c>
      <c r="V24" s="34">
        <v>4300</v>
      </c>
      <c r="W24" s="54">
        <f t="shared" si="17"/>
        <v>580.5</v>
      </c>
      <c r="X24" s="43">
        <f t="shared" si="18"/>
        <v>16.279069767441861</v>
      </c>
      <c r="Y24" s="40">
        <v>15</v>
      </c>
      <c r="AA24" s="56">
        <f t="shared" si="22"/>
        <v>0.1928709252535199</v>
      </c>
      <c r="AB24" s="51">
        <f t="shared" si="23"/>
        <v>1.2000857571330128</v>
      </c>
      <c r="AC24" s="224">
        <f t="shared" si="24"/>
        <v>13.500964767746392</v>
      </c>
      <c r="AD24" s="34">
        <f t="shared" si="25"/>
        <v>95</v>
      </c>
      <c r="AE24" s="226">
        <f t="shared" si="26"/>
        <v>0.41304347826086951</v>
      </c>
      <c r="AF24" s="50">
        <f t="shared" si="27"/>
        <v>2.1174496978491823E-2</v>
      </c>
      <c r="AG24" s="50">
        <f t="shared" si="28"/>
        <v>1.7053850232942813</v>
      </c>
      <c r="AH24" s="54">
        <f t="shared" si="29"/>
        <v>408.5</v>
      </c>
    </row>
    <row r="25" spans="1:34">
      <c r="B25" s="34" t="str">
        <f t="shared" si="19"/>
        <v>LED 135W</v>
      </c>
      <c r="C25" s="106" t="s">
        <v>517</v>
      </c>
      <c r="E25" s="106">
        <v>135</v>
      </c>
      <c r="F25" s="355">
        <f t="shared" si="20"/>
        <v>113.82352941176471</v>
      </c>
      <c r="H25" s="106">
        <v>12000</v>
      </c>
      <c r="J25" s="54">
        <f t="shared" si="21"/>
        <v>88.888888888888886</v>
      </c>
      <c r="M25" s="35">
        <f>VLOOKUP(B25,Pricing!$B$73:$C$84,2,FALSE)</f>
        <v>200</v>
      </c>
      <c r="N25" s="54">
        <f t="shared" si="16"/>
        <v>162.01157721295672</v>
      </c>
      <c r="P25" s="57">
        <v>70000</v>
      </c>
      <c r="V25" s="34">
        <v>4300</v>
      </c>
      <c r="W25" s="54">
        <f t="shared" si="17"/>
        <v>580.5</v>
      </c>
      <c r="X25" s="43">
        <f t="shared" si="18"/>
        <v>16.279069767441861</v>
      </c>
      <c r="Y25" s="40">
        <v>15</v>
      </c>
      <c r="AA25" s="56">
        <f t="shared" si="22"/>
        <v>0.1928709252535199</v>
      </c>
      <c r="AB25" s="51">
        <f t="shared" si="23"/>
        <v>1.2000857571330128</v>
      </c>
      <c r="AC25" s="224">
        <f t="shared" si="24"/>
        <v>13.500964767746392</v>
      </c>
      <c r="AD25" s="34">
        <f t="shared" si="25"/>
        <v>155</v>
      </c>
      <c r="AE25" s="226">
        <f t="shared" si="26"/>
        <v>0.53448275862068972</v>
      </c>
      <c r="AF25" s="50">
        <f t="shared" si="27"/>
        <v>1.2977917502946601E-2</v>
      </c>
      <c r="AG25" s="50">
        <f t="shared" si="28"/>
        <v>1.0452359820190755</v>
      </c>
      <c r="AH25" s="54">
        <f t="shared" si="29"/>
        <v>666.5</v>
      </c>
    </row>
    <row r="26" spans="1:34">
      <c r="B26" s="34" t="str">
        <f t="shared" si="19"/>
        <v>LED 135W</v>
      </c>
      <c r="C26" s="106" t="s">
        <v>785</v>
      </c>
      <c r="E26" s="106">
        <v>135</v>
      </c>
      <c r="F26" s="355">
        <f t="shared" si="20"/>
        <v>113.82352941176471</v>
      </c>
      <c r="H26" s="106">
        <v>12000</v>
      </c>
      <c r="J26" s="54">
        <f t="shared" si="21"/>
        <v>88.888888888888886</v>
      </c>
      <c r="M26" s="35">
        <f>VLOOKUP(B26,Pricing!$B$73:$C$84,2,FALSE)</f>
        <v>200</v>
      </c>
      <c r="N26" s="54">
        <f t="shared" si="16"/>
        <v>162.01157721295672</v>
      </c>
      <c r="P26" s="57">
        <v>70000</v>
      </c>
      <c r="V26" s="34">
        <v>4300</v>
      </c>
      <c r="W26" s="54">
        <f t="shared" si="17"/>
        <v>580.5</v>
      </c>
      <c r="X26" s="43">
        <f t="shared" si="18"/>
        <v>16.279069767441861</v>
      </c>
      <c r="Y26" s="40">
        <v>15</v>
      </c>
      <c r="AA26" s="56">
        <f t="shared" si="22"/>
        <v>0.1928709252535199</v>
      </c>
      <c r="AB26" s="51">
        <f t="shared" si="23"/>
        <v>1.2000857571330128</v>
      </c>
      <c r="AC26" s="224">
        <f t="shared" si="24"/>
        <v>13.500964767746392</v>
      </c>
      <c r="AD26" s="34">
        <f t="shared" si="25"/>
        <v>155</v>
      </c>
      <c r="AE26" s="226">
        <f t="shared" si="26"/>
        <v>0.53448275862068972</v>
      </c>
      <c r="AF26" s="50">
        <f t="shared" si="27"/>
        <v>1.2977917502946601E-2</v>
      </c>
      <c r="AG26" s="50">
        <f t="shared" si="28"/>
        <v>1.0452359820190755</v>
      </c>
      <c r="AH26" s="54">
        <f t="shared" si="29"/>
        <v>666.5</v>
      </c>
    </row>
    <row r="27" spans="1:34">
      <c r="B27" s="34" t="str">
        <f t="shared" si="19"/>
        <v>LED 180W</v>
      </c>
      <c r="C27" s="106" t="s">
        <v>518</v>
      </c>
      <c r="E27" s="106">
        <v>180</v>
      </c>
      <c r="F27" s="355">
        <f t="shared" si="20"/>
        <v>151.76470588235293</v>
      </c>
      <c r="G27" s="106"/>
      <c r="H27" s="106">
        <v>17000</v>
      </c>
      <c r="I27" s="106"/>
      <c r="J27" s="54">
        <f t="shared" si="21"/>
        <v>94.444444444444443</v>
      </c>
      <c r="K27" s="106"/>
      <c r="L27" s="106"/>
      <c r="M27" s="35">
        <f>VLOOKUP(B27,Pricing!$B$73:$C$84,2,FALSE)</f>
        <v>400</v>
      </c>
      <c r="N27" s="54">
        <f t="shared" si="16"/>
        <v>324.02315442591345</v>
      </c>
      <c r="P27" s="57">
        <v>70000</v>
      </c>
      <c r="V27" s="34">
        <v>4300</v>
      </c>
      <c r="W27" s="54">
        <f t="shared" si="17"/>
        <v>774</v>
      </c>
      <c r="X27" s="43">
        <f t="shared" si="18"/>
        <v>16.279069767441861</v>
      </c>
      <c r="Y27" s="40">
        <v>15</v>
      </c>
      <c r="AA27" s="56">
        <f t="shared" si="22"/>
        <v>0.27228836506379284</v>
      </c>
      <c r="AB27" s="51">
        <f t="shared" si="23"/>
        <v>1.8001286356995192</v>
      </c>
      <c r="AC27" s="224">
        <f t="shared" si="24"/>
        <v>19.060185554465498</v>
      </c>
      <c r="AD27" s="34">
        <f t="shared" si="25"/>
        <v>278</v>
      </c>
      <c r="AE27" s="226">
        <f t="shared" si="26"/>
        <v>0.60698689956331875</v>
      </c>
      <c r="AF27" s="50">
        <f t="shared" si="27"/>
        <v>0.48209767779105556</v>
      </c>
      <c r="AG27" s="50">
        <f t="shared" si="28"/>
        <v>1.1655509152011274</v>
      </c>
      <c r="AH27" s="54">
        <f t="shared" si="29"/>
        <v>1195.4000000000001</v>
      </c>
    </row>
    <row r="28" spans="1:34">
      <c r="B28" s="34" t="str">
        <f t="shared" si="19"/>
        <v>LED 180W</v>
      </c>
      <c r="C28" s="106" t="s">
        <v>786</v>
      </c>
      <c r="E28" s="106">
        <v>180</v>
      </c>
      <c r="F28" s="355">
        <f t="shared" si="20"/>
        <v>151.76470588235293</v>
      </c>
      <c r="G28" s="106"/>
      <c r="H28" s="106">
        <v>17000</v>
      </c>
      <c r="I28" s="106"/>
      <c r="J28" s="54">
        <f t="shared" si="21"/>
        <v>94.444444444444443</v>
      </c>
      <c r="K28" s="106"/>
      <c r="L28" s="106"/>
      <c r="M28" s="35">
        <f>VLOOKUP(B28,Pricing!$B$73:$C$84,2,FALSE)</f>
        <v>400</v>
      </c>
      <c r="N28" s="54">
        <f t="shared" si="16"/>
        <v>324.02315442591345</v>
      </c>
      <c r="P28" s="57">
        <v>70000</v>
      </c>
      <c r="V28" s="34">
        <v>4300</v>
      </c>
      <c r="W28" s="54">
        <f t="shared" si="17"/>
        <v>774</v>
      </c>
      <c r="X28" s="43">
        <f t="shared" si="18"/>
        <v>16.279069767441861</v>
      </c>
      <c r="Y28" s="40">
        <v>15</v>
      </c>
      <c r="AA28" s="56">
        <f t="shared" si="22"/>
        <v>0.27228836506379284</v>
      </c>
      <c r="AB28" s="51">
        <f t="shared" si="23"/>
        <v>1.8001286356995192</v>
      </c>
      <c r="AC28" s="224">
        <f t="shared" si="24"/>
        <v>19.060185554465498</v>
      </c>
      <c r="AD28" s="34">
        <f t="shared" si="25"/>
        <v>278</v>
      </c>
      <c r="AE28" s="226">
        <f t="shared" si="26"/>
        <v>0.60698689956331875</v>
      </c>
      <c r="AF28" s="50">
        <f t="shared" si="27"/>
        <v>0.48209767779105556</v>
      </c>
      <c r="AG28" s="50">
        <f t="shared" si="28"/>
        <v>1.1655509152011274</v>
      </c>
      <c r="AH28" s="54">
        <f t="shared" si="29"/>
        <v>1195.4000000000001</v>
      </c>
    </row>
    <row r="29" spans="1:34">
      <c r="B29" s="34" t="str">
        <f t="shared" si="19"/>
        <v>LED 421W</v>
      </c>
      <c r="C29" s="106" t="s">
        <v>519</v>
      </c>
      <c r="E29" s="106">
        <v>421</v>
      </c>
      <c r="F29" s="355">
        <f t="shared" si="20"/>
        <v>354.96078431372547</v>
      </c>
      <c r="G29" s="106"/>
      <c r="H29" s="106">
        <v>41000</v>
      </c>
      <c r="I29" s="106"/>
      <c r="J29" s="54">
        <f t="shared" si="21"/>
        <v>97.387173396674584</v>
      </c>
      <c r="K29" s="106"/>
      <c r="L29" s="106"/>
      <c r="M29" s="35">
        <f>VLOOKUP(B29,Pricing!$B$73:$C$84,2,FALSE)</f>
        <v>1200</v>
      </c>
      <c r="N29" s="54">
        <f t="shared" si="16"/>
        <v>972.0694632777404</v>
      </c>
      <c r="P29" s="57">
        <v>70000</v>
      </c>
      <c r="V29" s="34">
        <v>4300</v>
      </c>
      <c r="W29" s="54">
        <f t="shared" si="17"/>
        <v>1810.3</v>
      </c>
      <c r="X29" s="43">
        <f t="shared" si="18"/>
        <v>16.279069767441861</v>
      </c>
      <c r="Y29" s="40">
        <v>15</v>
      </c>
      <c r="AA29" s="56">
        <f t="shared" si="22"/>
        <v>0.33870016142081549</v>
      </c>
      <c r="AB29" s="51">
        <f t="shared" si="23"/>
        <v>2.3089535944839441</v>
      </c>
      <c r="AC29" s="224">
        <f t="shared" si="24"/>
        <v>23.709011299457082</v>
      </c>
      <c r="AD29" s="34">
        <f t="shared" si="25"/>
        <v>679</v>
      </c>
      <c r="AE29" s="226">
        <f t="shared" si="26"/>
        <v>0.6172727272727272</v>
      </c>
      <c r="AF29" s="50">
        <f t="shared" si="27"/>
        <v>0.78360745696279877</v>
      </c>
      <c r="AG29" s="50">
        <f t="shared" si="28"/>
        <v>1.4316192389951994</v>
      </c>
      <c r="AH29" s="54">
        <f t="shared" si="29"/>
        <v>2919.7</v>
      </c>
    </row>
    <row r="30" spans="1:34">
      <c r="B30" s="34" t="str">
        <f t="shared" si="19"/>
        <v>LED 421W</v>
      </c>
      <c r="C30" s="106" t="s">
        <v>787</v>
      </c>
      <c r="E30" s="106">
        <v>421</v>
      </c>
      <c r="F30" s="355">
        <f t="shared" si="20"/>
        <v>354.96078431372547</v>
      </c>
      <c r="G30" s="106"/>
      <c r="H30" s="106">
        <v>41000</v>
      </c>
      <c r="I30" s="106"/>
      <c r="J30" s="54">
        <f t="shared" si="21"/>
        <v>97.387173396674584</v>
      </c>
      <c r="K30" s="106"/>
      <c r="L30" s="106"/>
      <c r="M30" s="35">
        <f>VLOOKUP(B30,Pricing!$B$73:$C$84,2,FALSE)</f>
        <v>1200</v>
      </c>
      <c r="N30" s="54">
        <f t="shared" si="16"/>
        <v>972.0694632777404</v>
      </c>
      <c r="P30" s="57">
        <v>70000</v>
      </c>
      <c r="V30" s="34">
        <v>4300</v>
      </c>
      <c r="W30" s="54">
        <f t="shared" si="17"/>
        <v>1810.3</v>
      </c>
      <c r="X30" s="43">
        <f t="shared" si="18"/>
        <v>16.279069767441861</v>
      </c>
      <c r="Y30" s="40">
        <v>15</v>
      </c>
      <c r="AA30" s="56">
        <f t="shared" si="22"/>
        <v>0.33870016142081549</v>
      </c>
      <c r="AB30" s="51">
        <f t="shared" si="23"/>
        <v>2.3089535944839441</v>
      </c>
      <c r="AC30" s="224">
        <f t="shared" si="24"/>
        <v>23.709011299457082</v>
      </c>
      <c r="AD30" s="34">
        <f t="shared" ref="AD30" si="30">E18-E30</f>
        <v>679</v>
      </c>
      <c r="AE30" s="226">
        <f t="shared" ref="AE30" si="31">1-(E30/E18)</f>
        <v>0.6172727272727272</v>
      </c>
      <c r="AF30" s="50">
        <f t="shared" si="27"/>
        <v>0.78360745696279877</v>
      </c>
      <c r="AG30" s="50">
        <f t="shared" si="28"/>
        <v>1.4316192389951994</v>
      </c>
      <c r="AH30" s="54">
        <f t="shared" si="29"/>
        <v>2919.7</v>
      </c>
    </row>
    <row r="31" spans="1:34">
      <c r="F31" s="355"/>
    </row>
  </sheetData>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sheetPr codeName="Sheet7"/>
  <dimension ref="B4:AH84"/>
  <sheetViews>
    <sheetView topLeftCell="A43" workbookViewId="0">
      <selection activeCell="B82" sqref="B82"/>
    </sheetView>
  </sheetViews>
  <sheetFormatPr defaultRowHeight="12.75"/>
  <cols>
    <col min="2" max="2" width="20.7109375" customWidth="1"/>
    <col min="4" max="4" width="25.28515625" customWidth="1"/>
    <col min="18" max="18" width="12.28515625" customWidth="1"/>
    <col min="20" max="20" width="14.28515625" customWidth="1"/>
    <col min="25" max="25" width="11.5703125" customWidth="1"/>
  </cols>
  <sheetData>
    <row r="4" spans="2:26">
      <c r="B4" t="s">
        <v>456</v>
      </c>
    </row>
    <row r="5" spans="2:26">
      <c r="O5" s="267" t="s">
        <v>500</v>
      </c>
      <c r="P5" s="267"/>
      <c r="Q5" s="267"/>
      <c r="R5" s="267"/>
      <c r="S5" s="267"/>
      <c r="T5" s="267"/>
      <c r="U5" s="267"/>
      <c r="V5" s="267"/>
      <c r="W5" s="267"/>
      <c r="X5" s="267"/>
      <c r="Y5" s="267"/>
      <c r="Z5" s="267"/>
    </row>
    <row r="6" spans="2:26" ht="15.75">
      <c r="O6" s="316" t="s">
        <v>473</v>
      </c>
      <c r="P6" s="316"/>
      <c r="Q6" s="316"/>
      <c r="R6" s="316"/>
      <c r="S6" s="316"/>
      <c r="T6" s="316"/>
      <c r="U6" s="316"/>
      <c r="V6" s="316"/>
      <c r="W6" s="316"/>
      <c r="X6" s="316"/>
      <c r="Y6" s="316"/>
      <c r="Z6" s="316"/>
    </row>
    <row r="7" spans="2:26" ht="63">
      <c r="O7" s="211" t="s">
        <v>501</v>
      </c>
      <c r="P7" s="212" t="s">
        <v>474</v>
      </c>
      <c r="Q7" s="211" t="s">
        <v>475</v>
      </c>
      <c r="R7" s="211" t="s">
        <v>476</v>
      </c>
      <c r="S7" s="210"/>
      <c r="T7" s="211" t="s">
        <v>477</v>
      </c>
      <c r="U7" s="211" t="s">
        <v>475</v>
      </c>
      <c r="V7" s="211" t="s">
        <v>476</v>
      </c>
      <c r="W7" s="211"/>
      <c r="X7" s="211" t="s">
        <v>478</v>
      </c>
      <c r="Y7" s="211" t="s">
        <v>479</v>
      </c>
      <c r="Z7" s="211" t="s">
        <v>480</v>
      </c>
    </row>
    <row r="8" spans="2:26" ht="15.75">
      <c r="O8" s="210">
        <v>100</v>
      </c>
      <c r="P8" s="213">
        <v>128</v>
      </c>
      <c r="Q8" s="214">
        <v>122</v>
      </c>
      <c r="R8" s="214">
        <f>V25</f>
        <v>56</v>
      </c>
      <c r="S8" s="210"/>
      <c r="T8" s="215" t="s">
        <v>502</v>
      </c>
      <c r="U8" s="216">
        <v>155</v>
      </c>
      <c r="V8" s="217">
        <v>8</v>
      </c>
      <c r="W8" s="210"/>
      <c r="X8" s="218">
        <f>U8-Q8</f>
        <v>33</v>
      </c>
      <c r="Y8" s="218">
        <f t="shared" ref="Y8:Y13" si="0">R8-V8</f>
        <v>48</v>
      </c>
      <c r="Z8" s="210"/>
    </row>
    <row r="9" spans="2:26" ht="15.75">
      <c r="O9" s="210">
        <v>200</v>
      </c>
      <c r="P9" s="213">
        <v>230</v>
      </c>
      <c r="Q9" s="214">
        <v>163</v>
      </c>
      <c r="R9" s="214">
        <f>R8</f>
        <v>56</v>
      </c>
      <c r="S9" s="210"/>
      <c r="T9" s="214" t="s">
        <v>481</v>
      </c>
      <c r="U9" s="216">
        <v>325</v>
      </c>
      <c r="V9" s="217">
        <f>V8</f>
        <v>8</v>
      </c>
      <c r="W9" s="210"/>
      <c r="X9" s="218">
        <f>U9-Q9</f>
        <v>162</v>
      </c>
      <c r="Y9" s="218">
        <f t="shared" si="0"/>
        <v>48</v>
      </c>
      <c r="Z9" s="210"/>
    </row>
    <row r="10" spans="2:26" ht="15.75">
      <c r="O10" s="210">
        <v>250</v>
      </c>
      <c r="P10" s="213">
        <v>292</v>
      </c>
      <c r="Q10" s="214">
        <v>159</v>
      </c>
      <c r="R10" s="214">
        <f t="shared" ref="R10:R11" si="1">R9</f>
        <v>56</v>
      </c>
      <c r="S10" s="210"/>
      <c r="T10" s="214" t="s">
        <v>481</v>
      </c>
      <c r="U10" s="216">
        <v>325</v>
      </c>
      <c r="V10" s="217">
        <f>V9</f>
        <v>8</v>
      </c>
      <c r="W10" s="210"/>
      <c r="X10" s="218">
        <f>U10-Q10</f>
        <v>166</v>
      </c>
      <c r="Y10" s="218">
        <f t="shared" si="0"/>
        <v>48</v>
      </c>
      <c r="Z10" s="210"/>
    </row>
    <row r="11" spans="2:26" ht="15.75">
      <c r="O11" s="210">
        <v>400</v>
      </c>
      <c r="P11" s="213">
        <v>458</v>
      </c>
      <c r="Q11" s="214">
        <v>186</v>
      </c>
      <c r="R11" s="214">
        <f t="shared" si="1"/>
        <v>56</v>
      </c>
      <c r="S11" s="210"/>
      <c r="T11" s="214" t="s">
        <v>482</v>
      </c>
      <c r="U11" s="216">
        <v>500</v>
      </c>
      <c r="V11" s="217">
        <f>V10</f>
        <v>8</v>
      </c>
      <c r="W11" s="210"/>
      <c r="X11" s="218">
        <f>U11-Q11</f>
        <v>314</v>
      </c>
      <c r="Y11" s="218">
        <f t="shared" si="0"/>
        <v>48</v>
      </c>
      <c r="Z11" s="210"/>
    </row>
    <row r="12" spans="2:26" ht="15.75">
      <c r="O12" s="213">
        <v>1000</v>
      </c>
      <c r="P12" s="213">
        <v>1100</v>
      </c>
      <c r="Q12" s="216">
        <v>440</v>
      </c>
      <c r="R12" s="216">
        <v>80</v>
      </c>
      <c r="S12" s="210"/>
      <c r="T12" s="216" t="s">
        <v>483</v>
      </c>
      <c r="U12" s="216">
        <v>1200</v>
      </c>
      <c r="V12" s="217">
        <v>12</v>
      </c>
      <c r="W12" s="210"/>
      <c r="X12" s="218">
        <f>U12-Q12</f>
        <v>760</v>
      </c>
      <c r="Y12" s="218">
        <f t="shared" si="0"/>
        <v>68</v>
      </c>
      <c r="Z12" s="210"/>
    </row>
    <row r="13" spans="2:26" ht="15.75">
      <c r="O13" s="210">
        <v>1000</v>
      </c>
      <c r="P13" s="213">
        <v>1100</v>
      </c>
      <c r="Q13" s="214" t="s">
        <v>484</v>
      </c>
      <c r="R13" s="214"/>
      <c r="S13" s="210"/>
      <c r="T13" s="214" t="s">
        <v>485</v>
      </c>
      <c r="U13" s="214">
        <v>325</v>
      </c>
      <c r="V13" s="219"/>
      <c r="W13" s="210"/>
      <c r="X13" s="218">
        <f>U13</f>
        <v>325</v>
      </c>
      <c r="Y13" s="218">
        <f t="shared" si="0"/>
        <v>0</v>
      </c>
      <c r="Z13" s="210" t="s">
        <v>486</v>
      </c>
    </row>
    <row r="14" spans="2:26" ht="15.75">
      <c r="O14" s="210"/>
      <c r="P14" s="210"/>
      <c r="Q14" s="210"/>
      <c r="R14" s="210"/>
      <c r="S14" s="210"/>
      <c r="T14" s="210"/>
      <c r="U14" s="210"/>
      <c r="V14" s="210"/>
      <c r="W14" s="210"/>
      <c r="X14" s="210"/>
      <c r="Y14" s="210"/>
      <c r="Z14" s="210"/>
    </row>
    <row r="15" spans="2:26" ht="15.75">
      <c r="O15" s="210"/>
      <c r="P15" s="210"/>
      <c r="Q15" s="210"/>
      <c r="R15" s="210"/>
      <c r="S15" s="210"/>
      <c r="T15" s="220" t="s">
        <v>480</v>
      </c>
      <c r="U15" s="210"/>
      <c r="V15" s="210"/>
      <c r="W15" s="210"/>
      <c r="X15" s="210"/>
      <c r="Y15" s="210"/>
      <c r="Z15" s="210"/>
    </row>
    <row r="16" spans="2:26" ht="15.75">
      <c r="O16" s="210"/>
      <c r="P16" s="210"/>
      <c r="Q16" s="210"/>
      <c r="R16" s="210"/>
      <c r="S16" s="210"/>
      <c r="T16" s="214" t="s">
        <v>487</v>
      </c>
      <c r="U16" s="210"/>
      <c r="V16" s="210"/>
      <c r="W16" s="210"/>
      <c r="X16" s="210"/>
      <c r="Y16" s="210"/>
      <c r="Z16" s="210"/>
    </row>
    <row r="17" spans="15:34" ht="15.75">
      <c r="O17" s="210"/>
      <c r="P17" s="210"/>
      <c r="Q17" s="210"/>
      <c r="R17" s="210"/>
      <c r="S17" s="210"/>
      <c r="T17" s="214" t="s">
        <v>488</v>
      </c>
      <c r="U17" s="210"/>
      <c r="V17" s="210"/>
      <c r="W17" s="210"/>
      <c r="X17" s="210"/>
      <c r="Y17" s="219">
        <v>30</v>
      </c>
      <c r="Z17" s="210"/>
    </row>
    <row r="18" spans="15:34" ht="15.75">
      <c r="O18" s="210"/>
      <c r="P18" s="210"/>
      <c r="Q18" s="210"/>
      <c r="R18" s="210"/>
      <c r="S18" s="210"/>
      <c r="T18" s="214" t="s">
        <v>489</v>
      </c>
      <c r="U18" s="210"/>
      <c r="V18" s="210"/>
      <c r="W18" s="210"/>
      <c r="X18" s="210"/>
      <c r="Y18" s="219">
        <v>5.51</v>
      </c>
      <c r="Z18" s="210"/>
    </row>
    <row r="19" spans="15:34" ht="15.75">
      <c r="O19" s="210"/>
      <c r="P19" s="210"/>
      <c r="Q19" s="210"/>
      <c r="R19" s="210"/>
      <c r="S19" s="210"/>
      <c r="T19" s="214" t="s">
        <v>490</v>
      </c>
      <c r="U19" s="210"/>
      <c r="V19" s="210"/>
      <c r="W19" s="210"/>
      <c r="X19" s="210"/>
      <c r="Y19" s="221">
        <v>100000</v>
      </c>
      <c r="Z19" s="222">
        <f>Y19/4300</f>
        <v>23.255813953488371</v>
      </c>
    </row>
    <row r="20" spans="15:34" ht="15.75">
      <c r="O20" s="210"/>
      <c r="P20" s="210"/>
      <c r="Q20" s="210"/>
      <c r="R20" s="210"/>
      <c r="S20" s="210"/>
      <c r="T20" s="214" t="s">
        <v>491</v>
      </c>
      <c r="U20" s="210"/>
      <c r="V20" s="210"/>
      <c r="W20" s="210"/>
      <c r="X20" s="210"/>
      <c r="Y20" s="221">
        <v>20000</v>
      </c>
      <c r="Z20" s="222">
        <f>Y20/4300</f>
        <v>4.6511627906976747</v>
      </c>
    </row>
    <row r="21" spans="15:34" ht="15.75">
      <c r="O21" s="210"/>
      <c r="P21" s="210"/>
      <c r="Q21" s="210"/>
      <c r="R21" s="210"/>
      <c r="S21" s="210"/>
      <c r="T21" s="214" t="s">
        <v>492</v>
      </c>
      <c r="U21" s="210"/>
      <c r="V21" s="210"/>
      <c r="W21" s="210"/>
      <c r="X21" s="210"/>
      <c r="Y21" s="219">
        <v>100</v>
      </c>
      <c r="Z21" s="210"/>
    </row>
    <row r="22" spans="15:34" ht="15.75">
      <c r="O22" s="210"/>
      <c r="P22" s="210"/>
      <c r="Q22" s="210"/>
      <c r="R22" s="210"/>
      <c r="S22" s="210"/>
      <c r="T22" s="214" t="s">
        <v>493</v>
      </c>
      <c r="U22" s="210"/>
      <c r="V22" s="210"/>
      <c r="W22" s="210"/>
      <c r="X22" s="210"/>
      <c r="Y22" s="210"/>
      <c r="Z22" s="222"/>
    </row>
    <row r="23" spans="15:34" ht="15.75">
      <c r="O23" s="210"/>
      <c r="P23" s="210"/>
      <c r="Q23" s="210"/>
      <c r="R23" s="210"/>
      <c r="S23" s="210"/>
      <c r="T23" s="210"/>
      <c r="U23" s="210"/>
      <c r="V23" s="210"/>
      <c r="W23" s="210"/>
      <c r="X23" s="210"/>
      <c r="Y23" s="210"/>
      <c r="Z23" s="222"/>
    </row>
    <row r="24" spans="15:34" ht="47.25">
      <c r="O24" s="210"/>
      <c r="P24" s="210"/>
      <c r="Q24" s="210"/>
      <c r="R24" s="210"/>
      <c r="S24" s="210"/>
      <c r="T24" s="210"/>
      <c r="U24" s="211" t="s">
        <v>494</v>
      </c>
      <c r="V24" s="211" t="s">
        <v>495</v>
      </c>
      <c r="W24" s="210"/>
      <c r="X24" s="210"/>
      <c r="Y24" s="210"/>
      <c r="Z24" s="222"/>
    </row>
    <row r="25" spans="15:34" ht="15.75">
      <c r="O25" s="210"/>
      <c r="P25" s="210"/>
      <c r="Q25" s="210"/>
      <c r="R25" s="210"/>
      <c r="S25" s="210"/>
      <c r="T25" s="214" t="s">
        <v>496</v>
      </c>
      <c r="U25" s="219">
        <f>ROUND(AVERAGE(U26:U28),0)</f>
        <v>118</v>
      </c>
      <c r="V25" s="219">
        <f>ROUND(AVERAGE(V26:V28),0)</f>
        <v>56</v>
      </c>
      <c r="W25" s="210"/>
      <c r="X25" s="210"/>
      <c r="Y25" s="210"/>
      <c r="Z25" s="222"/>
    </row>
    <row r="26" spans="15:34" ht="15.75">
      <c r="O26" s="210"/>
      <c r="P26" s="210"/>
      <c r="Q26" s="210"/>
      <c r="R26" s="210"/>
      <c r="S26" s="210"/>
      <c r="T26" s="214" t="s">
        <v>497</v>
      </c>
      <c r="U26" s="219">
        <v>144.15</v>
      </c>
      <c r="V26" s="223">
        <f>U26*V27/U27</f>
        <v>63.50896402877698</v>
      </c>
      <c r="W26" s="210"/>
      <c r="X26" s="210"/>
      <c r="Y26" s="210"/>
      <c r="Z26" s="222"/>
    </row>
    <row r="27" spans="15:34" ht="15.75">
      <c r="O27" s="210"/>
      <c r="P27" s="210"/>
      <c r="Q27" s="210"/>
      <c r="R27" s="210"/>
      <c r="S27" s="210"/>
      <c r="T27" s="214" t="s">
        <v>498</v>
      </c>
      <c r="U27" s="219">
        <v>104.25</v>
      </c>
      <c r="V27" s="219">
        <v>45.93</v>
      </c>
      <c r="W27" s="210"/>
      <c r="X27" s="210"/>
      <c r="Y27" s="210"/>
      <c r="Z27" s="222"/>
    </row>
    <row r="28" spans="15:34" ht="15.75">
      <c r="O28" s="210"/>
      <c r="P28" s="210"/>
      <c r="Q28" s="210"/>
      <c r="R28" s="210"/>
      <c r="S28" s="210"/>
      <c r="T28" s="214" t="s">
        <v>499</v>
      </c>
      <c r="U28" s="219">
        <v>105.43</v>
      </c>
      <c r="V28" s="219">
        <v>59.94</v>
      </c>
      <c r="W28" s="210"/>
      <c r="X28" s="210"/>
      <c r="Y28" s="210"/>
      <c r="Z28" s="210"/>
    </row>
    <row r="32" spans="15:34">
      <c r="O32" s="302" t="s">
        <v>952</v>
      </c>
      <c r="P32" s="303"/>
      <c r="Q32" s="303"/>
      <c r="R32" s="267"/>
      <c r="S32" s="304" t="s">
        <v>817</v>
      </c>
      <c r="T32" s="267"/>
      <c r="U32" s="267"/>
      <c r="V32" s="267"/>
      <c r="W32" s="302" t="s">
        <v>816</v>
      </c>
      <c r="X32" s="303"/>
      <c r="Y32" s="303"/>
      <c r="Z32" s="304" t="s">
        <v>817</v>
      </c>
      <c r="AA32" s="303"/>
      <c r="AB32" s="303"/>
      <c r="AC32" s="303"/>
      <c r="AD32" s="290"/>
      <c r="AE32" s="290"/>
      <c r="AF32" s="290"/>
      <c r="AG32" s="290"/>
      <c r="AH32" s="291"/>
    </row>
    <row r="33" spans="15:34">
      <c r="W33" s="305"/>
      <c r="X33" s="306"/>
      <c r="Y33" s="306"/>
      <c r="Z33" s="306"/>
      <c r="AA33" s="306"/>
      <c r="AB33" s="306"/>
      <c r="AC33" s="306"/>
      <c r="AD33" s="293"/>
      <c r="AE33" s="293"/>
      <c r="AF33" s="293"/>
      <c r="AG33" s="293"/>
      <c r="AH33" s="294"/>
    </row>
    <row r="34" spans="15:34">
      <c r="O34" s="302" t="s">
        <v>951</v>
      </c>
      <c r="P34" s="303" t="s">
        <v>814</v>
      </c>
      <c r="Q34" s="303"/>
      <c r="R34" s="303"/>
      <c r="S34" s="303"/>
      <c r="T34" s="303"/>
      <c r="U34" s="360"/>
      <c r="W34" s="305" t="s">
        <v>813</v>
      </c>
      <c r="X34" s="306" t="s">
        <v>814</v>
      </c>
      <c r="Y34" s="306"/>
      <c r="Z34" s="306"/>
      <c r="AA34" s="306"/>
      <c r="AB34" s="306"/>
      <c r="AC34" s="306"/>
      <c r="AD34" s="293"/>
      <c r="AE34" s="293"/>
      <c r="AF34" s="293"/>
      <c r="AG34" s="293"/>
      <c r="AH34" s="294"/>
    </row>
    <row r="35" spans="15:34">
      <c r="O35" s="305" t="s">
        <v>815</v>
      </c>
      <c r="P35" s="306">
        <v>2010</v>
      </c>
      <c r="Q35" s="306">
        <v>2011</v>
      </c>
      <c r="R35" s="306">
        <v>2012</v>
      </c>
      <c r="S35" s="306">
        <v>2013</v>
      </c>
      <c r="T35" s="306">
        <v>2014</v>
      </c>
      <c r="U35" s="361" t="s">
        <v>132</v>
      </c>
      <c r="W35" s="305" t="s">
        <v>815</v>
      </c>
      <c r="X35" s="306">
        <v>2010</v>
      </c>
      <c r="Y35" s="306">
        <v>2011</v>
      </c>
      <c r="Z35" s="306">
        <v>2012</v>
      </c>
      <c r="AA35" s="306">
        <v>2013</v>
      </c>
      <c r="AB35" s="306">
        <v>2014</v>
      </c>
      <c r="AC35" s="306" t="s">
        <v>132</v>
      </c>
      <c r="AD35" s="293"/>
      <c r="AE35" s="293"/>
      <c r="AF35" s="293"/>
      <c r="AG35" s="293"/>
      <c r="AH35" s="294"/>
    </row>
    <row r="36" spans="15:34">
      <c r="O36" s="292">
        <v>38</v>
      </c>
      <c r="P36" s="362"/>
      <c r="Q36" s="362"/>
      <c r="R36" s="362"/>
      <c r="S36" s="362"/>
      <c r="T36" s="362">
        <v>247.35</v>
      </c>
      <c r="U36" s="363">
        <v>247.35</v>
      </c>
      <c r="W36" s="307">
        <v>38</v>
      </c>
      <c r="X36" s="308"/>
      <c r="Y36" s="308"/>
      <c r="Z36" s="308"/>
      <c r="AA36" s="308"/>
      <c r="AB36" s="308">
        <v>6.7105263157894735</v>
      </c>
      <c r="AC36" s="308">
        <v>6.7105263157894735</v>
      </c>
      <c r="AD36" s="293"/>
      <c r="AE36" s="293"/>
      <c r="AF36" s="293"/>
      <c r="AG36" s="293"/>
      <c r="AH36" s="294"/>
    </row>
    <row r="37" spans="15:34">
      <c r="O37" s="292">
        <v>52</v>
      </c>
      <c r="P37" s="362"/>
      <c r="Q37" s="362"/>
      <c r="R37" s="362">
        <v>227.76923076923077</v>
      </c>
      <c r="S37" s="362">
        <v>211.23808351202251</v>
      </c>
      <c r="T37" s="362"/>
      <c r="U37" s="363">
        <v>221.9833292292079</v>
      </c>
      <c r="W37" s="307">
        <v>52</v>
      </c>
      <c r="X37" s="308"/>
      <c r="Y37" s="308"/>
      <c r="Z37" s="308">
        <v>4.3801775147928987</v>
      </c>
      <c r="AA37" s="308">
        <v>4.1236263736263732</v>
      </c>
      <c r="AB37" s="308"/>
      <c r="AC37" s="308">
        <v>4.2903846153846157</v>
      </c>
      <c r="AD37" s="293"/>
      <c r="AE37" s="293"/>
      <c r="AF37" s="293"/>
      <c r="AG37" s="293"/>
      <c r="AH37" s="294"/>
    </row>
    <row r="38" spans="15:34">
      <c r="O38" s="292">
        <v>70</v>
      </c>
      <c r="P38" s="362"/>
      <c r="Q38" s="362">
        <v>281.74100180180659</v>
      </c>
      <c r="R38" s="362">
        <v>285</v>
      </c>
      <c r="S38" s="362"/>
      <c r="T38" s="362"/>
      <c r="U38" s="363">
        <v>283.08294223635681</v>
      </c>
      <c r="W38" s="307">
        <v>70</v>
      </c>
      <c r="X38" s="308">
        <v>4.0693877551020403</v>
      </c>
      <c r="Y38" s="308">
        <v>3.9579365079365072</v>
      </c>
      <c r="Z38" s="308">
        <v>4.0714285714285703</v>
      </c>
      <c r="AA38" s="308"/>
      <c r="AB38" s="308"/>
      <c r="AC38" s="308">
        <v>4.0071428571428562</v>
      </c>
      <c r="AD38" s="293"/>
      <c r="AE38" s="293"/>
      <c r="AF38" s="293"/>
      <c r="AG38" s="293"/>
      <c r="AH38" s="294"/>
    </row>
    <row r="39" spans="15:34">
      <c r="O39" s="292">
        <v>135</v>
      </c>
      <c r="P39" s="362"/>
      <c r="Q39" s="362"/>
      <c r="R39" s="362"/>
      <c r="S39" s="362">
        <v>222.63734051700175</v>
      </c>
      <c r="T39" s="362">
        <v>191.09</v>
      </c>
      <c r="U39" s="363">
        <v>201.60578017233391</v>
      </c>
      <c r="W39" s="307">
        <v>135</v>
      </c>
      <c r="X39" s="308"/>
      <c r="Y39" s="308"/>
      <c r="Z39" s="308"/>
      <c r="AA39" s="308">
        <v>1.674074074074074</v>
      </c>
      <c r="AB39" s="308">
        <v>1.4592592592592593</v>
      </c>
      <c r="AC39" s="308">
        <v>1.5308641975308641</v>
      </c>
      <c r="AD39" s="293"/>
      <c r="AE39" s="293"/>
      <c r="AF39" s="293"/>
      <c r="AG39" s="293"/>
      <c r="AH39" s="294"/>
    </row>
    <row r="40" spans="15:34">
      <c r="O40" s="292">
        <v>270</v>
      </c>
      <c r="P40" s="362"/>
      <c r="Q40" s="362"/>
      <c r="R40" s="362"/>
      <c r="S40" s="362">
        <v>702.39125570186832</v>
      </c>
      <c r="T40" s="362">
        <v>444.745</v>
      </c>
      <c r="U40" s="363">
        <v>496.27425114037368</v>
      </c>
      <c r="W40" s="307">
        <v>270</v>
      </c>
      <c r="X40" s="308"/>
      <c r="Y40" s="308"/>
      <c r="Z40" s="308"/>
      <c r="AA40" s="308">
        <v>2.6407407407407408</v>
      </c>
      <c r="AB40" s="308">
        <v>1.6981481481481482</v>
      </c>
      <c r="AC40" s="308">
        <v>1.8866666666666667</v>
      </c>
      <c r="AD40" s="293"/>
      <c r="AE40" s="293"/>
      <c r="AF40" s="293"/>
      <c r="AG40" s="293"/>
      <c r="AH40" s="294"/>
    </row>
    <row r="41" spans="15:34">
      <c r="O41" s="297" t="s">
        <v>132</v>
      </c>
      <c r="P41" s="364"/>
      <c r="Q41" s="364">
        <v>281.74100180180659</v>
      </c>
      <c r="R41" s="364">
        <v>247.8</v>
      </c>
      <c r="S41" s="364">
        <v>267.07724231144749</v>
      </c>
      <c r="T41" s="364">
        <v>344.07285714285712</v>
      </c>
      <c r="U41" s="365">
        <v>273.6003304091542</v>
      </c>
      <c r="W41" s="309" t="s">
        <v>132</v>
      </c>
      <c r="X41" s="310">
        <v>4.0693877551020403</v>
      </c>
      <c r="Y41" s="310">
        <v>3.9579365079365072</v>
      </c>
      <c r="Z41" s="310">
        <v>4.2721153846153843</v>
      </c>
      <c r="AA41" s="310">
        <v>3.6866888255777144</v>
      </c>
      <c r="AB41" s="310">
        <v>2.3459482038429407</v>
      </c>
      <c r="AC41" s="310">
        <v>3.8487330488193296</v>
      </c>
      <c r="AD41" s="311"/>
      <c r="AE41" s="311"/>
      <c r="AF41" s="311"/>
      <c r="AG41" s="311"/>
      <c r="AH41" s="312"/>
    </row>
    <row r="46" spans="15:34">
      <c r="O46" s="451" t="s">
        <v>850</v>
      </c>
      <c r="P46" s="451"/>
      <c r="Q46" s="451"/>
      <c r="R46" s="451"/>
      <c r="S46" s="315" t="s">
        <v>862</v>
      </c>
    </row>
    <row r="47" spans="15:34">
      <c r="O47" s="314" t="s">
        <v>853</v>
      </c>
      <c r="P47" s="314" t="s">
        <v>854</v>
      </c>
      <c r="Q47" s="314" t="s">
        <v>855</v>
      </c>
      <c r="R47" s="314" t="s">
        <v>856</v>
      </c>
    </row>
    <row r="48" spans="15:34">
      <c r="O48" s="189" t="s">
        <v>851</v>
      </c>
      <c r="P48" s="189" t="s">
        <v>852</v>
      </c>
      <c r="Q48" s="189">
        <v>29</v>
      </c>
      <c r="R48" s="313">
        <v>124</v>
      </c>
    </row>
    <row r="49" spans="15:21">
      <c r="O49" s="189" t="s">
        <v>857</v>
      </c>
      <c r="P49" s="189" t="s">
        <v>858</v>
      </c>
      <c r="Q49" s="189">
        <v>63</v>
      </c>
      <c r="R49" s="313">
        <v>167</v>
      </c>
    </row>
    <row r="50" spans="15:21">
      <c r="O50" s="189" t="s">
        <v>857</v>
      </c>
      <c r="P50" s="189" t="s">
        <v>859</v>
      </c>
      <c r="Q50" s="189">
        <v>89</v>
      </c>
      <c r="R50" s="313">
        <v>167</v>
      </c>
    </row>
    <row r="51" spans="15:21">
      <c r="O51" s="189" t="s">
        <v>860</v>
      </c>
      <c r="P51" s="189" t="s">
        <v>861</v>
      </c>
      <c r="Q51" s="189">
        <v>180</v>
      </c>
      <c r="R51" s="313">
        <v>289</v>
      </c>
      <c r="T51" s="340">
        <f>AVERAGE(R51,U11)</f>
        <v>394.5</v>
      </c>
      <c r="U51" t="s">
        <v>954</v>
      </c>
    </row>
    <row r="52" spans="15:21">
      <c r="O52" s="293"/>
      <c r="P52" s="293"/>
      <c r="Q52" s="293"/>
      <c r="R52" s="293"/>
    </row>
    <row r="53" spans="15:21">
      <c r="O53" s="293"/>
      <c r="P53" s="293"/>
      <c r="Q53" s="293"/>
      <c r="R53" s="293"/>
    </row>
    <row r="54" spans="15:21">
      <c r="O54" s="293"/>
      <c r="P54" s="293"/>
      <c r="Q54" s="293"/>
      <c r="R54" s="293"/>
    </row>
    <row r="55" spans="15:21">
      <c r="O55" s="314" t="s">
        <v>853</v>
      </c>
      <c r="P55" s="314" t="s">
        <v>854</v>
      </c>
      <c r="Q55" s="314" t="s">
        <v>855</v>
      </c>
      <c r="R55" s="314" t="s">
        <v>856</v>
      </c>
    </row>
    <row r="56" spans="15:21">
      <c r="O56" s="189" t="s">
        <v>863</v>
      </c>
      <c r="P56" s="189" t="s">
        <v>864</v>
      </c>
      <c r="Q56" s="189">
        <v>264</v>
      </c>
      <c r="R56" s="313">
        <v>900</v>
      </c>
    </row>
    <row r="57" spans="15:21">
      <c r="O57" s="189" t="s">
        <v>863</v>
      </c>
      <c r="P57" s="189" t="s">
        <v>864</v>
      </c>
      <c r="Q57" s="189">
        <v>421</v>
      </c>
      <c r="R57" s="313">
        <v>1200</v>
      </c>
    </row>
    <row r="70" spans="2:13">
      <c r="B70" s="267" t="s">
        <v>923</v>
      </c>
      <c r="C70" s="267"/>
      <c r="D70" s="267"/>
      <c r="E70" s="267"/>
      <c r="F70" s="267"/>
      <c r="G70" s="267"/>
      <c r="H70" s="267"/>
      <c r="I70" s="267"/>
      <c r="J70" s="267"/>
      <c r="K70" s="267"/>
      <c r="L70" s="267"/>
      <c r="M70" s="267"/>
    </row>
    <row r="72" spans="2:13">
      <c r="B72" s="267" t="s">
        <v>914</v>
      </c>
      <c r="C72" s="267" t="s">
        <v>916</v>
      </c>
      <c r="D72" s="267" t="s">
        <v>97</v>
      </c>
      <c r="E72" s="267"/>
      <c r="F72" s="267"/>
      <c r="G72" s="267"/>
      <c r="H72" s="267"/>
      <c r="I72" s="267"/>
      <c r="J72" s="267"/>
      <c r="K72" s="267"/>
      <c r="L72" s="267"/>
      <c r="M72" s="267"/>
    </row>
    <row r="73" spans="2:13">
      <c r="B73" s="34" t="s">
        <v>71</v>
      </c>
      <c r="C73" s="35">
        <v>122</v>
      </c>
      <c r="D73" t="s">
        <v>922</v>
      </c>
    </row>
    <row r="74" spans="2:13">
      <c r="B74" s="34" t="s">
        <v>524</v>
      </c>
      <c r="C74" s="35">
        <v>160</v>
      </c>
      <c r="D74" t="s">
        <v>922</v>
      </c>
    </row>
    <row r="75" spans="2:13">
      <c r="B75" s="34" t="s">
        <v>520</v>
      </c>
      <c r="C75" s="35">
        <v>160</v>
      </c>
      <c r="D75" t="s">
        <v>922</v>
      </c>
    </row>
    <row r="76" spans="2:13">
      <c r="B76" s="34" t="s">
        <v>521</v>
      </c>
      <c r="C76" s="35">
        <v>190</v>
      </c>
      <c r="D76" t="s">
        <v>922</v>
      </c>
    </row>
    <row r="77" spans="2:13">
      <c r="B77" s="34" t="s">
        <v>522</v>
      </c>
      <c r="C77" s="35">
        <v>440</v>
      </c>
    </row>
    <row r="79" spans="2:13">
      <c r="B79" s="267" t="s">
        <v>915</v>
      </c>
      <c r="C79" s="267"/>
      <c r="D79" s="267"/>
      <c r="E79" s="267"/>
      <c r="F79" s="267"/>
      <c r="G79" s="267"/>
      <c r="H79" s="267"/>
      <c r="I79" s="267"/>
      <c r="J79" s="267"/>
      <c r="K79" s="267"/>
      <c r="L79" s="267"/>
      <c r="M79" s="267"/>
    </row>
    <row r="80" spans="2:13">
      <c r="B80" s="34" t="s">
        <v>917</v>
      </c>
      <c r="C80" s="340">
        <v>140</v>
      </c>
      <c r="D80" t="s">
        <v>924</v>
      </c>
    </row>
    <row r="81" spans="2:4">
      <c r="B81" s="34" t="s">
        <v>918</v>
      </c>
      <c r="C81" s="340">
        <v>140</v>
      </c>
      <c r="D81" t="s">
        <v>924</v>
      </c>
    </row>
    <row r="82" spans="2:4">
      <c r="B82" s="34" t="s">
        <v>919</v>
      </c>
      <c r="C82" s="340">
        <v>200</v>
      </c>
      <c r="D82" t="s">
        <v>924</v>
      </c>
    </row>
    <row r="83" spans="2:4">
      <c r="B83" s="34" t="s">
        <v>953</v>
      </c>
      <c r="C83" s="340">
        <v>400</v>
      </c>
      <c r="D83" t="s">
        <v>924</v>
      </c>
    </row>
    <row r="84" spans="2:4">
      <c r="B84" s="34" t="s">
        <v>920</v>
      </c>
      <c r="C84" s="340">
        <v>1200</v>
      </c>
      <c r="D84" t="s">
        <v>925</v>
      </c>
    </row>
  </sheetData>
  <mergeCells count="1">
    <mergeCell ref="O46:R46"/>
  </mergeCells>
  <hyperlinks>
    <hyperlink ref="Z32" r:id="rId1"/>
    <hyperlink ref="S46" r:id="rId2"/>
    <hyperlink ref="S32" r:id="rId3"/>
  </hyperlinks>
  <pageMargins left="0.7" right="0.7" top="0.75" bottom="0.75" header="0.3" footer="0.3"/>
  <pageSetup orientation="portrait" r:id="rId4"/>
  <drawing r:id="rId5"/>
</worksheet>
</file>

<file path=xl/worksheets/sheet13.xml><?xml version="1.0" encoding="utf-8"?>
<worksheet xmlns="http://schemas.openxmlformats.org/spreadsheetml/2006/main" xmlns:r="http://schemas.openxmlformats.org/officeDocument/2006/relationships">
  <sheetPr codeName="Sheet8"/>
  <dimension ref="A1:L45"/>
  <sheetViews>
    <sheetView topLeftCell="A13" workbookViewId="0">
      <selection activeCell="D13" sqref="D13"/>
    </sheetView>
  </sheetViews>
  <sheetFormatPr defaultRowHeight="12.75"/>
  <cols>
    <col min="1" max="1" width="31.7109375" customWidth="1"/>
    <col min="2" max="5" width="12.85546875" customWidth="1"/>
    <col min="6" max="6" width="10.28515625" customWidth="1"/>
    <col min="7" max="7" width="11" customWidth="1"/>
  </cols>
  <sheetData>
    <row r="1" spans="1:7">
      <c r="A1" s="203" t="s">
        <v>467</v>
      </c>
      <c r="B1" s="203"/>
      <c r="C1" s="203"/>
    </row>
    <row r="5" spans="1:7">
      <c r="A5" s="205" t="s">
        <v>461</v>
      </c>
      <c r="B5" s="452" t="s">
        <v>462</v>
      </c>
      <c r="C5" s="452"/>
      <c r="D5" s="452"/>
      <c r="E5" s="452"/>
      <c r="F5" s="452"/>
      <c r="G5" s="207" t="s">
        <v>463</v>
      </c>
    </row>
    <row r="6" spans="1:7">
      <c r="A6" s="206" t="s">
        <v>97</v>
      </c>
      <c r="B6" s="206">
        <v>2010</v>
      </c>
      <c r="C6" s="206">
        <v>2011</v>
      </c>
      <c r="D6" s="206">
        <v>2012</v>
      </c>
      <c r="E6" s="206">
        <v>2013</v>
      </c>
      <c r="F6" s="206">
        <v>2014</v>
      </c>
      <c r="G6" s="207">
        <v>2015</v>
      </c>
    </row>
    <row r="7" spans="1:7">
      <c r="A7" s="189" t="s">
        <v>459</v>
      </c>
      <c r="B7" s="487">
        <v>0.01</v>
      </c>
      <c r="C7" s="190"/>
      <c r="D7" s="487">
        <v>0.02</v>
      </c>
      <c r="E7" s="190"/>
      <c r="F7" s="190"/>
      <c r="G7" s="190"/>
    </row>
    <row r="8" spans="1:7">
      <c r="A8" s="189" t="s">
        <v>460</v>
      </c>
      <c r="B8" s="190"/>
      <c r="C8" s="190"/>
      <c r="D8" s="190"/>
      <c r="E8" s="488">
        <v>7.0999999999999994E-2</v>
      </c>
      <c r="F8" s="190"/>
      <c r="G8" s="190"/>
    </row>
    <row r="9" spans="1:7">
      <c r="A9" s="208" t="s">
        <v>464</v>
      </c>
      <c r="B9" s="190"/>
      <c r="C9" s="190"/>
      <c r="D9" s="190"/>
      <c r="E9" s="190"/>
      <c r="F9" s="190" t="s">
        <v>1018</v>
      </c>
      <c r="G9" s="190"/>
    </row>
    <row r="16" spans="1:7">
      <c r="A16" t="s">
        <v>466</v>
      </c>
    </row>
    <row r="17" spans="1:12">
      <c r="A17" t="s">
        <v>465</v>
      </c>
    </row>
    <row r="20" spans="1:12">
      <c r="H20" s="186"/>
      <c r="I20" s="186"/>
      <c r="J20" s="186"/>
      <c r="K20" s="186"/>
      <c r="L20" s="186"/>
    </row>
    <row r="32" spans="1:12">
      <c r="A32" s="203" t="s">
        <v>469</v>
      </c>
      <c r="B32" s="203" t="s">
        <v>441</v>
      </c>
      <c r="C32" s="203"/>
    </row>
    <row r="33" spans="1:6">
      <c r="A33" t="s">
        <v>468</v>
      </c>
      <c r="B33" s="200">
        <f>'Outdoor Stock'!G21</f>
        <v>1000000</v>
      </c>
    </row>
    <row r="35" spans="1:6" ht="78.75" customHeight="1">
      <c r="A35" s="203" t="s">
        <v>470</v>
      </c>
      <c r="B35" s="331" t="s">
        <v>1010</v>
      </c>
      <c r="C35" s="331" t="s">
        <v>893</v>
      </c>
      <c r="D35" s="331" t="s">
        <v>1009</v>
      </c>
      <c r="E35" s="331" t="s">
        <v>880</v>
      </c>
      <c r="F35" s="176"/>
    </row>
    <row r="36" spans="1:6">
      <c r="A36" t="s">
        <v>471</v>
      </c>
      <c r="B36" s="200">
        <f>C36*D36</f>
        <v>89000</v>
      </c>
      <c r="C36" s="186">
        <v>1</v>
      </c>
      <c r="D36" s="200">
        <v>89000</v>
      </c>
    </row>
    <row r="37" spans="1:6">
      <c r="A37" t="s">
        <v>271</v>
      </c>
      <c r="B37" s="200">
        <f t="shared" ref="B37:B41" si="0">C37*D37</f>
        <v>55000</v>
      </c>
      <c r="C37" s="186">
        <v>1</v>
      </c>
      <c r="D37" s="200">
        <v>55000</v>
      </c>
    </row>
    <row r="38" spans="1:6">
      <c r="A38" t="s">
        <v>423</v>
      </c>
      <c r="B38" s="200">
        <f t="shared" si="0"/>
        <v>4500</v>
      </c>
      <c r="C38" s="186">
        <v>0.15</v>
      </c>
      <c r="D38" s="200">
        <v>30000</v>
      </c>
    </row>
    <row r="39" spans="1:6">
      <c r="A39" t="s">
        <v>890</v>
      </c>
      <c r="B39" s="200">
        <f t="shared" si="0"/>
        <v>600</v>
      </c>
      <c r="C39" s="186">
        <v>0.01</v>
      </c>
      <c r="D39" s="200">
        <v>60000</v>
      </c>
    </row>
    <row r="40" spans="1:6">
      <c r="A40" t="s">
        <v>895</v>
      </c>
      <c r="B40" s="200">
        <f t="shared" si="0"/>
        <v>2000</v>
      </c>
      <c r="C40" s="186">
        <v>0.02</v>
      </c>
      <c r="D40" s="200">
        <f>'Outdoor Stock'!$G$16</f>
        <v>100000</v>
      </c>
    </row>
    <row r="41" spans="1:6">
      <c r="A41" t="s">
        <v>894</v>
      </c>
      <c r="B41" s="200">
        <f t="shared" si="0"/>
        <v>66600</v>
      </c>
      <c r="C41" s="186">
        <f>E41</f>
        <v>0.1</v>
      </c>
      <c r="D41" s="198">
        <f>B33-SUM(D36:D40)</f>
        <v>666000</v>
      </c>
      <c r="E41" s="486">
        <v>0.1</v>
      </c>
    </row>
    <row r="43" spans="1:6">
      <c r="A43" t="s">
        <v>156</v>
      </c>
      <c r="B43" s="200">
        <f>SUM(B36:B41)</f>
        <v>217700</v>
      </c>
      <c r="D43" s="200">
        <f>SUM(D36:D41)</f>
        <v>1000000</v>
      </c>
    </row>
    <row r="45" spans="1:6">
      <c r="A45" s="203" t="s">
        <v>472</v>
      </c>
      <c r="B45" s="209">
        <f>ROUND(B33-B43,-4)</f>
        <v>780000</v>
      </c>
      <c r="C45" s="275">
        <f>B43/B33</f>
        <v>0.2177</v>
      </c>
    </row>
  </sheetData>
  <mergeCells count="1">
    <mergeCell ref="B5:F5"/>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sheetPr codeName="Sheet9"/>
  <dimension ref="A3:AO208"/>
  <sheetViews>
    <sheetView workbookViewId="0">
      <selection activeCell="M30" sqref="M30"/>
    </sheetView>
  </sheetViews>
  <sheetFormatPr defaultRowHeight="12.75"/>
  <cols>
    <col min="1" max="1" width="10.42578125" customWidth="1"/>
    <col min="2" max="2" width="22.140625" customWidth="1"/>
    <col min="3" max="3" width="14.85546875" customWidth="1"/>
    <col min="4" max="4" width="14.140625" customWidth="1"/>
    <col min="5" max="6" width="9.85546875" customWidth="1"/>
    <col min="7" max="7" width="15.28515625" customWidth="1"/>
    <col min="8" max="8" width="29" customWidth="1"/>
    <col min="9" max="9" width="10.85546875" customWidth="1"/>
    <col min="10" max="10" width="11.7109375" customWidth="1"/>
    <col min="11" max="11" width="22.5703125" customWidth="1"/>
    <col min="12" max="12" width="9.5703125" customWidth="1"/>
    <col min="13" max="13" width="9.7109375" customWidth="1"/>
    <col min="14" max="14" width="12.5703125" customWidth="1"/>
    <col min="15" max="15" width="11.5703125" customWidth="1"/>
    <col min="16" max="16" width="12.42578125" customWidth="1"/>
    <col min="17" max="17" width="10.28515625" customWidth="1"/>
    <col min="20" max="20" width="27.28515625" customWidth="1"/>
    <col min="23" max="23" width="10.28515625" bestFit="1" customWidth="1"/>
    <col min="25" max="25" width="11.28515625" bestFit="1" customWidth="1"/>
    <col min="33" max="33" width="19.7109375" customWidth="1"/>
    <col min="35" max="35" width="11.140625" customWidth="1"/>
  </cols>
  <sheetData>
    <row r="3" spans="2:41">
      <c r="B3" s="203" t="s">
        <v>454</v>
      </c>
    </row>
    <row r="4" spans="2:41">
      <c r="T4" s="267" t="s">
        <v>883</v>
      </c>
      <c r="U4" s="267" t="s">
        <v>886</v>
      </c>
      <c r="V4" s="267"/>
      <c r="W4" s="267"/>
      <c r="X4" s="267"/>
      <c r="Y4" s="267"/>
      <c r="Z4" s="267"/>
    </row>
    <row r="5" spans="2:41">
      <c r="G5" s="203" t="s">
        <v>440</v>
      </c>
      <c r="H5" s="176"/>
      <c r="I5" s="176"/>
      <c r="J5" s="176"/>
      <c r="K5" s="176"/>
      <c r="N5" s="203" t="s">
        <v>443</v>
      </c>
      <c r="O5" s="203"/>
      <c r="P5" s="203"/>
      <c r="Q5" s="203"/>
      <c r="T5" s="267" t="s">
        <v>740</v>
      </c>
      <c r="U5" s="267" t="s">
        <v>741</v>
      </c>
      <c r="V5" s="267"/>
      <c r="W5" s="267"/>
      <c r="X5" s="267"/>
      <c r="Y5" s="267"/>
      <c r="Z5" s="267"/>
      <c r="AC5" s="267" t="s">
        <v>820</v>
      </c>
      <c r="AD5" s="267"/>
      <c r="AE5" s="267"/>
      <c r="AF5" s="267"/>
      <c r="AG5" s="267"/>
      <c r="AH5" s="267"/>
      <c r="AI5" s="267"/>
      <c r="AK5" s="267" t="s">
        <v>821</v>
      </c>
      <c r="AL5" s="267"/>
      <c r="AM5" s="267"/>
      <c r="AN5" s="267"/>
    </row>
    <row r="6" spans="2:41" ht="31.5" customHeight="1">
      <c r="B6" s="187" t="s">
        <v>417</v>
      </c>
      <c r="C6" s="328" t="s">
        <v>418</v>
      </c>
      <c r="D6" s="187" t="s">
        <v>172</v>
      </c>
      <c r="G6" s="185">
        <v>81</v>
      </c>
      <c r="H6" t="s">
        <v>438</v>
      </c>
      <c r="N6" s="200">
        <v>46000000</v>
      </c>
      <c r="O6" t="s">
        <v>447</v>
      </c>
      <c r="T6" s="34" t="s">
        <v>664</v>
      </c>
      <c r="U6" s="274">
        <f>Z20</f>
        <v>0.54</v>
      </c>
      <c r="V6" s="460">
        <f>SUM(U6:U10)</f>
        <v>1</v>
      </c>
      <c r="W6" s="323"/>
      <c r="X6" s="323"/>
      <c r="Y6" s="323"/>
      <c r="Z6" s="323"/>
      <c r="AA6" s="268"/>
      <c r="AC6" s="289" t="s">
        <v>819</v>
      </c>
      <c r="AD6" s="290" t="s">
        <v>112</v>
      </c>
      <c r="AE6" s="290"/>
      <c r="AF6" s="290"/>
      <c r="AG6" s="290"/>
      <c r="AH6" s="291"/>
      <c r="AI6" s="293"/>
      <c r="AK6" t="s">
        <v>822</v>
      </c>
    </row>
    <row r="7" spans="2:41" ht="15">
      <c r="B7" s="188" t="s">
        <v>419</v>
      </c>
      <c r="C7" s="189"/>
      <c r="D7" s="190"/>
      <c r="G7" s="197">
        <v>13242.678320000001</v>
      </c>
      <c r="H7" t="s">
        <v>442</v>
      </c>
      <c r="N7" s="186">
        <v>0.04</v>
      </c>
      <c r="O7" t="s">
        <v>446</v>
      </c>
      <c r="T7" s="34" t="s">
        <v>665</v>
      </c>
      <c r="U7" s="274">
        <f t="shared" ref="U7:U10" si="0">Z21</f>
        <v>0.13100000000000001</v>
      </c>
      <c r="V7" s="461"/>
      <c r="W7" s="324"/>
      <c r="X7" s="324"/>
      <c r="Y7" s="324"/>
      <c r="Z7" s="324"/>
      <c r="AA7" s="269"/>
      <c r="AC7" s="292" t="s">
        <v>127</v>
      </c>
      <c r="AD7" s="293" t="s">
        <v>128</v>
      </c>
      <c r="AE7" s="293" t="s">
        <v>129</v>
      </c>
      <c r="AF7" s="293" t="s">
        <v>130</v>
      </c>
      <c r="AG7" s="293" t="s">
        <v>131</v>
      </c>
      <c r="AH7" s="294" t="s">
        <v>132</v>
      </c>
      <c r="AI7" s="293"/>
      <c r="AK7" t="s">
        <v>823</v>
      </c>
      <c r="AM7" t="s">
        <v>436</v>
      </c>
      <c r="AN7" t="s">
        <v>824</v>
      </c>
    </row>
    <row r="8" spans="2:41">
      <c r="B8" s="190" t="s">
        <v>420</v>
      </c>
      <c r="C8" s="191">
        <v>38537</v>
      </c>
      <c r="D8" s="190"/>
      <c r="G8" s="198">
        <f>G7*I8</f>
        <v>11123.8497888</v>
      </c>
      <c r="H8" t="s">
        <v>891</v>
      </c>
      <c r="I8" s="186">
        <v>0.84</v>
      </c>
      <c r="N8" s="201">
        <f>N6*N7</f>
        <v>1840000</v>
      </c>
      <c r="O8" s="202" t="s">
        <v>448</v>
      </c>
      <c r="P8" s="202"/>
      <c r="T8" s="34" t="s">
        <v>666</v>
      </c>
      <c r="U8" s="274">
        <f t="shared" si="0"/>
        <v>0.14000000000000001</v>
      </c>
      <c r="V8" s="461"/>
      <c r="W8" s="324"/>
      <c r="X8" s="324"/>
      <c r="Y8" s="324"/>
      <c r="Z8" s="324"/>
      <c r="AA8" s="269"/>
      <c r="AC8" s="292">
        <v>70</v>
      </c>
      <c r="AD8" s="295">
        <v>1.4678665987413382E-2</v>
      </c>
      <c r="AE8" s="295">
        <v>0</v>
      </c>
      <c r="AF8" s="295">
        <v>0</v>
      </c>
      <c r="AG8" s="295">
        <v>0</v>
      </c>
      <c r="AH8" s="296">
        <v>1.4579533523151906E-2</v>
      </c>
      <c r="AI8" s="453">
        <f>SUM(AH8:AH10)</f>
        <v>0.62454326625493461</v>
      </c>
      <c r="AK8" t="s">
        <v>825</v>
      </c>
      <c r="AL8" s="198">
        <v>36</v>
      </c>
      <c r="AM8">
        <v>240</v>
      </c>
      <c r="AN8" s="186">
        <v>1.5650132591401122E-3</v>
      </c>
      <c r="AO8" s="453">
        <f>SUM(AN8:AN14)</f>
        <v>0.56040516454375511</v>
      </c>
    </row>
    <row r="9" spans="2:41">
      <c r="B9" s="190" t="s">
        <v>421</v>
      </c>
      <c r="C9" s="191">
        <v>10108</v>
      </c>
      <c r="D9" s="190"/>
      <c r="T9" s="34" t="s">
        <v>667</v>
      </c>
      <c r="U9" s="274">
        <f t="shared" si="0"/>
        <v>0.17499999999999999</v>
      </c>
      <c r="V9" s="461"/>
      <c r="W9" s="324"/>
      <c r="X9" s="324"/>
      <c r="Y9" s="324"/>
      <c r="Z9" s="324"/>
      <c r="AA9" s="268"/>
      <c r="AC9" s="292">
        <v>85</v>
      </c>
      <c r="AD9" s="295">
        <v>0</v>
      </c>
      <c r="AE9" s="295">
        <v>0</v>
      </c>
      <c r="AF9" s="295">
        <v>0</v>
      </c>
      <c r="AG9" s="295">
        <v>0.53492760796931071</v>
      </c>
      <c r="AH9" s="296">
        <v>3.1711622490291284E-3</v>
      </c>
      <c r="AI9" s="454"/>
      <c r="AK9" t="s">
        <v>826</v>
      </c>
      <c r="AL9" s="198">
        <v>1834</v>
      </c>
      <c r="AM9">
        <v>360</v>
      </c>
      <c r="AN9" s="186">
        <v>7.9728731035082379E-2</v>
      </c>
      <c r="AO9" s="454"/>
    </row>
    <row r="10" spans="2:41">
      <c r="B10" s="190" t="s">
        <v>422</v>
      </c>
      <c r="C10" s="191">
        <v>2649</v>
      </c>
      <c r="D10" s="190"/>
      <c r="G10" s="198">
        <f>ROUND(G6*G8,-4)</f>
        <v>900000</v>
      </c>
      <c r="H10" t="s">
        <v>435</v>
      </c>
      <c r="T10" s="34" t="s">
        <v>668</v>
      </c>
      <c r="U10" s="274">
        <f t="shared" si="0"/>
        <v>1.4E-2</v>
      </c>
      <c r="V10" s="461"/>
      <c r="W10" s="324"/>
      <c r="X10" s="324"/>
      <c r="Y10" s="324"/>
      <c r="Z10" s="324"/>
      <c r="AA10" s="268"/>
      <c r="AC10" s="292">
        <v>100</v>
      </c>
      <c r="AD10" s="295">
        <v>0.61091841186937879</v>
      </c>
      <c r="AE10" s="295">
        <v>0</v>
      </c>
      <c r="AF10" s="295">
        <v>0</v>
      </c>
      <c r="AG10" s="295">
        <v>0</v>
      </c>
      <c r="AH10" s="296">
        <v>0.60679257048275359</v>
      </c>
      <c r="AI10" s="454"/>
      <c r="AK10" t="s">
        <v>827</v>
      </c>
      <c r="AL10" s="198">
        <v>54</v>
      </c>
      <c r="AM10">
        <v>432</v>
      </c>
      <c r="AN10" s="186">
        <v>2.3475198887101681E-3</v>
      </c>
      <c r="AO10" s="454"/>
    </row>
    <row r="11" spans="2:41">
      <c r="B11" s="190"/>
      <c r="C11" s="191">
        <f>SUM(C8:C10)</f>
        <v>51294</v>
      </c>
      <c r="D11" s="192">
        <f>C11/8760</f>
        <v>5.8554794520547944</v>
      </c>
      <c r="G11">
        <v>730</v>
      </c>
      <c r="H11" t="s">
        <v>436</v>
      </c>
      <c r="T11" s="34" t="s">
        <v>669</v>
      </c>
      <c r="U11" s="274">
        <f>U6</f>
        <v>0.54</v>
      </c>
      <c r="V11" s="460">
        <f>SUM(U11:U15)</f>
        <v>1</v>
      </c>
      <c r="W11" s="323"/>
      <c r="X11" s="323"/>
      <c r="Y11" s="323"/>
      <c r="Z11" s="323"/>
      <c r="AA11" s="269"/>
      <c r="AC11" s="292">
        <v>150</v>
      </c>
      <c r="AD11" s="295">
        <v>0.15153336997952824</v>
      </c>
      <c r="AE11" s="295">
        <v>0</v>
      </c>
      <c r="AF11" s="295">
        <v>0</v>
      </c>
      <c r="AG11" s="295">
        <v>0</v>
      </c>
      <c r="AH11" s="296">
        <v>0.15050998839997615</v>
      </c>
      <c r="AI11" s="455"/>
      <c r="AK11" t="s">
        <v>828</v>
      </c>
      <c r="AL11" s="198">
        <v>8178</v>
      </c>
      <c r="AM11">
        <v>624</v>
      </c>
      <c r="AN11" s="186">
        <v>0.3555188453679955</v>
      </c>
      <c r="AO11" s="454"/>
    </row>
    <row r="12" spans="2:41">
      <c r="B12" s="190"/>
      <c r="C12" s="190"/>
      <c r="D12" s="192"/>
      <c r="G12" s="198">
        <f>G10*G11/1000</f>
        <v>657000</v>
      </c>
      <c r="H12" t="s">
        <v>437</v>
      </c>
      <c r="N12" s="203" t="s">
        <v>879</v>
      </c>
      <c r="O12" s="176"/>
      <c r="P12" s="176"/>
      <c r="T12" s="34" t="s">
        <v>670</v>
      </c>
      <c r="U12" s="274">
        <f t="shared" ref="U12:U15" si="1">U7</f>
        <v>0.13100000000000001</v>
      </c>
      <c r="V12" s="461"/>
      <c r="W12" s="324"/>
      <c r="X12" s="324"/>
      <c r="Y12" s="324"/>
      <c r="Z12" s="324"/>
      <c r="AA12" s="269"/>
      <c r="AC12" s="292">
        <v>175</v>
      </c>
      <c r="AD12" s="295">
        <v>0</v>
      </c>
      <c r="AE12" s="295">
        <v>0</v>
      </c>
      <c r="AF12" s="295">
        <v>1</v>
      </c>
      <c r="AG12" s="295">
        <v>0</v>
      </c>
      <c r="AH12" s="296">
        <v>4.0347909015465169E-4</v>
      </c>
      <c r="AI12" s="453">
        <f>SUM(AH12:AH14)</f>
        <v>0.18048151561418227</v>
      </c>
      <c r="AK12" t="s">
        <v>829</v>
      </c>
      <c r="AL12" s="198">
        <v>2</v>
      </c>
      <c r="AM12">
        <v>600</v>
      </c>
      <c r="AN12" s="186">
        <v>8.6945181063339562E-5</v>
      </c>
      <c r="AO12" s="454"/>
    </row>
    <row r="13" spans="2:41" ht="15">
      <c r="B13" s="188" t="s">
        <v>423</v>
      </c>
      <c r="C13" s="191">
        <v>25878</v>
      </c>
      <c r="D13" s="192">
        <f>C13/8760</f>
        <v>2.9541095890410958</v>
      </c>
      <c r="G13" s="201">
        <f>G12/8760</f>
        <v>75</v>
      </c>
      <c r="H13" s="202" t="s">
        <v>877</v>
      </c>
      <c r="N13" s="200">
        <v>26000000</v>
      </c>
      <c r="O13" t="s">
        <v>449</v>
      </c>
      <c r="T13" s="34" t="s">
        <v>671</v>
      </c>
      <c r="U13" s="274">
        <f t="shared" si="1"/>
        <v>0.14000000000000001</v>
      </c>
      <c r="V13" s="461"/>
      <c r="W13" s="324"/>
      <c r="X13" s="324"/>
      <c r="Y13" s="324"/>
      <c r="Z13" s="324"/>
      <c r="AA13" s="268"/>
      <c r="AC13" s="292">
        <v>200</v>
      </c>
      <c r="AD13" s="295">
        <v>0.109702790988729</v>
      </c>
      <c r="AE13" s="295">
        <v>0</v>
      </c>
      <c r="AF13" s="295">
        <v>0</v>
      </c>
      <c r="AG13" s="295">
        <v>0</v>
      </c>
      <c r="AH13" s="296">
        <v>0.10896191249088732</v>
      </c>
      <c r="AI13" s="454"/>
      <c r="AK13" t="s">
        <v>830</v>
      </c>
      <c r="AL13" s="198">
        <v>11</v>
      </c>
      <c r="AM13">
        <v>660</v>
      </c>
      <c r="AN13" s="186">
        <v>4.7819849584836762E-4</v>
      </c>
      <c r="AO13" s="454"/>
    </row>
    <row r="14" spans="2:41" ht="15">
      <c r="B14" s="188"/>
      <c r="C14" s="190"/>
      <c r="D14" s="192"/>
      <c r="N14" s="200">
        <v>5000000</v>
      </c>
      <c r="O14" t="s">
        <v>450</v>
      </c>
      <c r="T14" s="34" t="s">
        <v>672</v>
      </c>
      <c r="U14" s="274">
        <f t="shared" si="1"/>
        <v>0.17499999999999999</v>
      </c>
      <c r="V14" s="461"/>
      <c r="W14" s="324"/>
      <c r="X14" s="324"/>
      <c r="Y14" s="324"/>
      <c r="Z14" s="324"/>
      <c r="AA14" s="269"/>
      <c r="AC14" s="292">
        <v>250</v>
      </c>
      <c r="AD14" s="295">
        <v>7.117498570373712E-2</v>
      </c>
      <c r="AE14" s="295">
        <v>1</v>
      </c>
      <c r="AF14" s="295">
        <v>0</v>
      </c>
      <c r="AG14" s="295">
        <v>0</v>
      </c>
      <c r="AH14" s="296">
        <v>7.1116124033140299E-2</v>
      </c>
      <c r="AI14" s="455"/>
      <c r="AK14" t="s">
        <v>831</v>
      </c>
      <c r="AL14" s="198">
        <v>2776</v>
      </c>
      <c r="AM14">
        <v>744</v>
      </c>
      <c r="AN14" s="186">
        <v>0.12067991131591531</v>
      </c>
      <c r="AO14" s="455"/>
    </row>
    <row r="15" spans="2:41" ht="15">
      <c r="B15" s="188" t="s">
        <v>424</v>
      </c>
      <c r="C15" s="191">
        <v>31798</v>
      </c>
      <c r="D15" s="192">
        <f t="shared" ref="D15:D21" si="2">C15/8760</f>
        <v>3.6299086757990868</v>
      </c>
      <c r="G15" s="186">
        <f>G16/G10</f>
        <v>0.1111111111111111</v>
      </c>
      <c r="H15" t="s">
        <v>881</v>
      </c>
      <c r="N15" s="186">
        <v>0.04</v>
      </c>
      <c r="O15" t="s">
        <v>446</v>
      </c>
      <c r="T15" s="34" t="s">
        <v>673</v>
      </c>
      <c r="U15" s="274">
        <f t="shared" si="1"/>
        <v>1.4E-2</v>
      </c>
      <c r="V15" s="461"/>
      <c r="W15" s="324"/>
      <c r="X15" s="324"/>
      <c r="Y15" s="324"/>
      <c r="Z15" s="324"/>
      <c r="AA15" s="268"/>
      <c r="AC15" s="292">
        <v>400</v>
      </c>
      <c r="AD15" s="295">
        <v>4.1991775471213508E-2</v>
      </c>
      <c r="AE15" s="295">
        <v>0</v>
      </c>
      <c r="AF15" s="295">
        <v>0</v>
      </c>
      <c r="AG15" s="295">
        <v>0</v>
      </c>
      <c r="AH15" s="296">
        <v>4.1708183748045649E-2</v>
      </c>
      <c r="AI15" s="295"/>
      <c r="AK15" t="s">
        <v>832</v>
      </c>
      <c r="AL15" s="198">
        <v>196</v>
      </c>
      <c r="AM15">
        <v>900</v>
      </c>
      <c r="AN15" s="186">
        <v>8.5206277442072768E-3</v>
      </c>
      <c r="AO15" s="453">
        <f>SUM(AN15:AN19)</f>
        <v>0.30913359127070378</v>
      </c>
    </row>
    <row r="16" spans="2:41" ht="15">
      <c r="B16" s="188"/>
      <c r="C16" s="190"/>
      <c r="D16" s="192"/>
      <c r="G16" s="200">
        <v>100000</v>
      </c>
      <c r="H16" t="s">
        <v>892</v>
      </c>
      <c r="AA16" s="269"/>
      <c r="AC16" s="292">
        <v>1000</v>
      </c>
      <c r="AD16" s="295">
        <v>0</v>
      </c>
      <c r="AE16" s="295">
        <v>0</v>
      </c>
      <c r="AF16" s="295">
        <v>0</v>
      </c>
      <c r="AG16" s="295">
        <v>0.46507239203068929</v>
      </c>
      <c r="AH16" s="296">
        <v>2.7570459828613089E-3</v>
      </c>
      <c r="AI16" s="295"/>
      <c r="AK16" t="s">
        <v>833</v>
      </c>
      <c r="AL16" s="198">
        <v>5666</v>
      </c>
      <c r="AM16">
        <v>948</v>
      </c>
      <c r="AN16" s="186">
        <v>0.24631569795244099</v>
      </c>
      <c r="AO16" s="454"/>
    </row>
    <row r="17" spans="2:41" ht="15">
      <c r="B17" s="188" t="s">
        <v>425</v>
      </c>
      <c r="C17" s="191">
        <v>55919</v>
      </c>
      <c r="D17" s="192">
        <f t="shared" si="2"/>
        <v>6.3834474885844745</v>
      </c>
      <c r="G17">
        <v>1900</v>
      </c>
      <c r="H17" t="s">
        <v>439</v>
      </c>
      <c r="N17" s="198">
        <f>N13*$N$15</f>
        <v>1040000</v>
      </c>
      <c r="O17" t="s">
        <v>451</v>
      </c>
      <c r="AC17" s="292" t="s">
        <v>131</v>
      </c>
      <c r="AD17" s="295">
        <v>0</v>
      </c>
      <c r="AE17" s="295">
        <v>0</v>
      </c>
      <c r="AF17" s="295">
        <v>0</v>
      </c>
      <c r="AG17" s="295">
        <v>0</v>
      </c>
      <c r="AH17" s="296">
        <v>0</v>
      </c>
      <c r="AI17" s="295"/>
      <c r="AK17" t="s">
        <v>834</v>
      </c>
      <c r="AL17" s="198">
        <v>1021</v>
      </c>
      <c r="AM17">
        <v>1224</v>
      </c>
      <c r="AN17" s="186">
        <v>4.4385514932834845E-2</v>
      </c>
      <c r="AO17" s="454"/>
    </row>
    <row r="18" spans="2:41" ht="15">
      <c r="B18" s="188"/>
      <c r="C18" s="190"/>
      <c r="D18" s="192"/>
      <c r="G18" s="198">
        <f>G16*G17/1000</f>
        <v>190000</v>
      </c>
      <c r="H18" t="s">
        <v>437</v>
      </c>
      <c r="N18" s="198">
        <f>N14*N15</f>
        <v>200000</v>
      </c>
      <c r="O18" t="s">
        <v>452</v>
      </c>
      <c r="T18" s="267" t="s">
        <v>884</v>
      </c>
      <c r="U18" s="267" t="s">
        <v>884</v>
      </c>
      <c r="V18" s="267"/>
      <c r="W18" s="267" t="s">
        <v>885</v>
      </c>
      <c r="X18" s="267"/>
      <c r="Y18" s="267" t="s">
        <v>886</v>
      </c>
      <c r="Z18" s="267" t="s">
        <v>886</v>
      </c>
      <c r="AC18" s="297" t="s">
        <v>132</v>
      </c>
      <c r="AD18" s="298">
        <v>1</v>
      </c>
      <c r="AE18" s="298">
        <v>1</v>
      </c>
      <c r="AF18" s="298">
        <v>1</v>
      </c>
      <c r="AG18" s="298">
        <v>1</v>
      </c>
      <c r="AH18" s="299">
        <v>1</v>
      </c>
      <c r="AI18" s="301"/>
      <c r="AK18" t="s">
        <v>835</v>
      </c>
      <c r="AL18" s="198">
        <v>15</v>
      </c>
      <c r="AM18">
        <v>3240</v>
      </c>
      <c r="AN18" s="186">
        <v>6.5208885797504669E-4</v>
      </c>
      <c r="AO18" s="455"/>
    </row>
    <row r="19" spans="2:41" ht="15">
      <c r="B19" s="188" t="s">
        <v>426</v>
      </c>
      <c r="C19" s="191">
        <v>110736</v>
      </c>
      <c r="D19" s="192">
        <f t="shared" si="2"/>
        <v>12.641095890410959</v>
      </c>
      <c r="G19" s="201">
        <f>G18/8760</f>
        <v>21.689497716894977</v>
      </c>
      <c r="H19" s="202" t="s">
        <v>882</v>
      </c>
      <c r="T19" s="267" t="s">
        <v>740</v>
      </c>
      <c r="U19" s="267" t="s">
        <v>741</v>
      </c>
      <c r="V19" s="267"/>
      <c r="W19" s="267"/>
      <c r="X19" s="267"/>
      <c r="Y19" s="267" t="s">
        <v>888</v>
      </c>
      <c r="Z19" s="267" t="s">
        <v>889</v>
      </c>
      <c r="AK19" t="s">
        <v>836</v>
      </c>
      <c r="AL19" s="198">
        <v>213</v>
      </c>
      <c r="AM19">
        <v>1596</v>
      </c>
      <c r="AN19" s="186">
        <v>9.2596617832456634E-3</v>
      </c>
      <c r="AO19" s="453">
        <f>SUM(AN19:AN20)</f>
        <v>0.13302612702690952</v>
      </c>
    </row>
    <row r="20" spans="2:41" ht="15">
      <c r="B20" s="188"/>
      <c r="C20" s="190"/>
      <c r="D20" s="192"/>
      <c r="N20" s="201">
        <f>SUM(N17:N18)</f>
        <v>1240000</v>
      </c>
      <c r="O20" s="202" t="s">
        <v>453</v>
      </c>
      <c r="P20" s="202"/>
      <c r="T20" s="34" t="s">
        <v>664</v>
      </c>
      <c r="U20" s="274">
        <v>0</v>
      </c>
      <c r="V20" s="460">
        <f>SUM(U20:U24)</f>
        <v>1</v>
      </c>
      <c r="W20" s="274">
        <v>0.6</v>
      </c>
      <c r="X20" s="460">
        <f>SUM(W20:W24)</f>
        <v>1</v>
      </c>
      <c r="Y20" s="325">
        <f>(U20*$U$31)+(W20*$W$31)</f>
        <v>540000</v>
      </c>
      <c r="Z20" s="320">
        <f>Y20/$Y$31</f>
        <v>0.54</v>
      </c>
      <c r="AG20" s="267"/>
      <c r="AH20" s="267"/>
      <c r="AI20" s="267"/>
      <c r="AK20" s="11" t="s">
        <v>837</v>
      </c>
      <c r="AL20" s="245">
        <v>2847</v>
      </c>
      <c r="AM20">
        <v>1956</v>
      </c>
      <c r="AN20" s="186">
        <v>0.12376646524366387</v>
      </c>
      <c r="AO20" s="456"/>
    </row>
    <row r="21" spans="2:41" ht="15">
      <c r="B21" s="188" t="s">
        <v>427</v>
      </c>
      <c r="C21" s="191">
        <v>93594</v>
      </c>
      <c r="D21" s="192">
        <f t="shared" si="2"/>
        <v>10.684246575342465</v>
      </c>
      <c r="G21" s="329">
        <f>ROUND(SUM(G10,G16),-4)</f>
        <v>1000000</v>
      </c>
      <c r="H21" s="330" t="s">
        <v>441</v>
      </c>
      <c r="T21" s="34" t="s">
        <v>665</v>
      </c>
      <c r="U21" s="274">
        <v>0.05</v>
      </c>
      <c r="V21" s="461"/>
      <c r="W21" s="274">
        <v>0.14000000000000001</v>
      </c>
      <c r="X21" s="461"/>
      <c r="Y21" s="326">
        <f t="shared" ref="Y21:Y29" si="3">(U21*$U$31)+(W21*$W$31)</f>
        <v>131000.00000000001</v>
      </c>
      <c r="Z21" s="321">
        <f t="shared" ref="Z21:Z29" si="4">Y21/$Y$31</f>
        <v>0.13100000000000001</v>
      </c>
      <c r="AK21" s="11" t="s">
        <v>838</v>
      </c>
      <c r="AL21" s="245">
        <v>19</v>
      </c>
      <c r="AM21">
        <v>3600</v>
      </c>
      <c r="AN21" s="186">
        <v>8.2597922010172581E-4</v>
      </c>
      <c r="AO21" s="453">
        <f>SUM(AN21:AN22)</f>
        <v>6.6947789418771468E-3</v>
      </c>
    </row>
    <row r="22" spans="2:41" ht="25.5">
      <c r="T22" s="34" t="s">
        <v>666</v>
      </c>
      <c r="U22" s="274">
        <v>0.05</v>
      </c>
      <c r="V22" s="461"/>
      <c r="W22" s="274">
        <v>0.15</v>
      </c>
      <c r="X22" s="461"/>
      <c r="Y22" s="326">
        <f t="shared" si="3"/>
        <v>140000</v>
      </c>
      <c r="Z22" s="321">
        <f t="shared" si="4"/>
        <v>0.14000000000000001</v>
      </c>
      <c r="AK22" s="143" t="s">
        <v>839</v>
      </c>
      <c r="AL22" s="300">
        <v>135</v>
      </c>
      <c r="AM22">
        <v>4800</v>
      </c>
      <c r="AN22" s="186">
        <v>5.8687997217754207E-3</v>
      </c>
      <c r="AO22" s="456"/>
    </row>
    <row r="23" spans="2:41">
      <c r="B23" t="s">
        <v>428</v>
      </c>
      <c r="D23" s="185">
        <f>SUM(D11:D21)</f>
        <v>42.148287671232872</v>
      </c>
      <c r="T23" s="34" t="s">
        <v>667</v>
      </c>
      <c r="U23" s="274">
        <v>0.85</v>
      </c>
      <c r="V23" s="461"/>
      <c r="W23" s="274">
        <v>0.1</v>
      </c>
      <c r="X23" s="461"/>
      <c r="Y23" s="326">
        <f t="shared" si="3"/>
        <v>175000</v>
      </c>
      <c r="Z23" s="321">
        <f t="shared" si="4"/>
        <v>0.17499999999999999</v>
      </c>
    </row>
    <row r="24" spans="2:41">
      <c r="B24" t="s">
        <v>849</v>
      </c>
      <c r="D24" s="193">
        <v>0.05</v>
      </c>
      <c r="T24" s="34" t="s">
        <v>668</v>
      </c>
      <c r="U24" s="274">
        <v>0.05</v>
      </c>
      <c r="V24" s="461"/>
      <c r="W24" s="274">
        <v>0.01</v>
      </c>
      <c r="X24" s="461"/>
      <c r="Y24" s="326">
        <f t="shared" si="3"/>
        <v>14000</v>
      </c>
      <c r="Z24" s="321">
        <f t="shared" si="4"/>
        <v>1.4E-2</v>
      </c>
    </row>
    <row r="25" spans="2:41">
      <c r="B25" t="s">
        <v>429</v>
      </c>
      <c r="D25" s="186">
        <v>0.5</v>
      </c>
      <c r="T25" s="34" t="s">
        <v>669</v>
      </c>
      <c r="U25" s="274">
        <f>U20</f>
        <v>0</v>
      </c>
      <c r="V25" s="460">
        <f>SUM(U25:U29)</f>
        <v>1</v>
      </c>
      <c r="W25" s="274">
        <f>W20</f>
        <v>0.6</v>
      </c>
      <c r="X25" s="460">
        <f>SUM(W25:W29)</f>
        <v>1</v>
      </c>
      <c r="Y25" s="326">
        <f t="shared" si="3"/>
        <v>540000</v>
      </c>
      <c r="Z25" s="321">
        <f t="shared" si="4"/>
        <v>0.54</v>
      </c>
    </row>
    <row r="26" spans="2:41">
      <c r="T26" s="34" t="s">
        <v>670</v>
      </c>
      <c r="U26" s="274">
        <f t="shared" ref="U26:U29" si="5">U21</f>
        <v>0.05</v>
      </c>
      <c r="V26" s="461"/>
      <c r="W26" s="274">
        <f t="shared" ref="W26:W29" si="6">W21</f>
        <v>0.14000000000000001</v>
      </c>
      <c r="X26" s="461"/>
      <c r="Y26" s="326">
        <f t="shared" si="3"/>
        <v>131000.00000000001</v>
      </c>
      <c r="Z26" s="321">
        <f t="shared" si="4"/>
        <v>0.13100000000000001</v>
      </c>
    </row>
    <row r="27" spans="2:41">
      <c r="B27" s="194" t="s">
        <v>430</v>
      </c>
      <c r="C27" s="194"/>
      <c r="D27" s="195">
        <f>(D23*(1+D24))/D25</f>
        <v>88.511404109589037</v>
      </c>
      <c r="E27" s="194" t="s">
        <v>431</v>
      </c>
      <c r="G27" s="199">
        <f>SUM(G13,G19)</f>
        <v>96.689497716894977</v>
      </c>
      <c r="H27" s="194" t="s">
        <v>788</v>
      </c>
      <c r="T27" s="34" t="s">
        <v>671</v>
      </c>
      <c r="U27" s="274">
        <f t="shared" si="5"/>
        <v>0.05</v>
      </c>
      <c r="V27" s="461"/>
      <c r="W27" s="274">
        <f t="shared" si="6"/>
        <v>0.15</v>
      </c>
      <c r="X27" s="461"/>
      <c r="Y27" s="326">
        <f t="shared" si="3"/>
        <v>140000</v>
      </c>
      <c r="Z27" s="321">
        <f t="shared" si="4"/>
        <v>0.14000000000000001</v>
      </c>
    </row>
    <row r="28" spans="2:41">
      <c r="T28" s="34" t="s">
        <v>672</v>
      </c>
      <c r="U28" s="274">
        <f t="shared" si="5"/>
        <v>0.85</v>
      </c>
      <c r="V28" s="461"/>
      <c r="W28" s="274">
        <f t="shared" si="6"/>
        <v>0.1</v>
      </c>
      <c r="X28" s="461"/>
      <c r="Y28" s="326">
        <f t="shared" si="3"/>
        <v>175000</v>
      </c>
      <c r="Z28" s="321">
        <f t="shared" si="4"/>
        <v>0.17499999999999999</v>
      </c>
    </row>
    <row r="29" spans="2:41">
      <c r="G29">
        <f>'Performance 7P'!$A$12</f>
        <v>230</v>
      </c>
      <c r="H29" t="s">
        <v>789</v>
      </c>
      <c r="T29" s="34" t="s">
        <v>673</v>
      </c>
      <c r="U29" s="274">
        <f t="shared" si="5"/>
        <v>0.05</v>
      </c>
      <c r="V29" s="461"/>
      <c r="W29" s="274">
        <f t="shared" si="6"/>
        <v>0.01</v>
      </c>
      <c r="X29" s="461"/>
      <c r="Y29" s="327">
        <f t="shared" si="3"/>
        <v>14000</v>
      </c>
      <c r="Z29" s="322">
        <f t="shared" si="4"/>
        <v>1.4E-2</v>
      </c>
    </row>
    <row r="30" spans="2:41">
      <c r="G30" s="199">
        <f>G21*G29*4300/1000/1000/8760</f>
        <v>112.89954337899543</v>
      </c>
      <c r="H30" s="194" t="s">
        <v>788</v>
      </c>
    </row>
    <row r="31" spans="2:41">
      <c r="T31" s="62" t="s">
        <v>887</v>
      </c>
      <c r="U31" s="198">
        <f>G16</f>
        <v>100000</v>
      </c>
      <c r="W31" s="198">
        <f>G10</f>
        <v>900000</v>
      </c>
      <c r="Y31" s="198">
        <f>SUM(U31,W31)</f>
        <v>1000000</v>
      </c>
    </row>
    <row r="35" spans="1:26">
      <c r="A35" s="204" t="s">
        <v>455</v>
      </c>
      <c r="B35" s="204"/>
      <c r="C35" s="11"/>
      <c r="D35" s="11"/>
      <c r="E35" s="11"/>
      <c r="F35" s="11"/>
      <c r="G35" s="11"/>
      <c r="H35" s="11"/>
      <c r="I35" s="11"/>
      <c r="J35" s="11"/>
      <c r="K35" s="11"/>
      <c r="L35" s="11"/>
      <c r="M35" s="11"/>
      <c r="N35" s="11"/>
      <c r="O35" s="11"/>
      <c r="P35" s="11"/>
      <c r="Q35" s="11"/>
      <c r="R35" s="11"/>
      <c r="S35" s="11"/>
      <c r="T35" s="11"/>
      <c r="U35" s="11"/>
      <c r="V35" s="11"/>
      <c r="W35" s="11"/>
      <c r="X35" s="11"/>
    </row>
    <row r="36" spans="1:26">
      <c r="A36" s="11"/>
      <c r="B36" s="14" t="s">
        <v>387</v>
      </c>
      <c r="C36" s="142" t="s">
        <v>103</v>
      </c>
      <c r="D36" s="116" t="s">
        <v>104</v>
      </c>
      <c r="E36" s="11"/>
      <c r="F36" s="11"/>
      <c r="G36" s="11"/>
      <c r="H36" s="11"/>
      <c r="I36" s="11"/>
      <c r="J36" s="11"/>
      <c r="K36" s="11"/>
      <c r="L36" s="11"/>
      <c r="M36" s="11"/>
      <c r="N36" s="11"/>
      <c r="O36" s="11"/>
      <c r="P36" s="58" t="s">
        <v>105</v>
      </c>
      <c r="Q36" s="11"/>
      <c r="R36" s="11"/>
      <c r="S36" s="11"/>
      <c r="T36" s="11"/>
      <c r="U36" s="11"/>
      <c r="V36" s="11"/>
      <c r="W36" s="11"/>
      <c r="X36" s="11"/>
    </row>
    <row r="37" spans="1:26" ht="38.25">
      <c r="A37" s="143"/>
      <c r="B37" s="173" t="s">
        <v>106</v>
      </c>
      <c r="C37" s="144">
        <v>135</v>
      </c>
      <c r="D37" s="145">
        <v>50</v>
      </c>
      <c r="E37" s="146">
        <f>C37*O77/M77</f>
        <v>5.677152317880795</v>
      </c>
      <c r="F37" s="143"/>
      <c r="G37" s="143"/>
      <c r="H37" s="143"/>
      <c r="I37" s="144" t="s">
        <v>107</v>
      </c>
      <c r="J37" s="145" t="s">
        <v>108</v>
      </c>
      <c r="K37" s="462" t="s">
        <v>109</v>
      </c>
      <c r="L37" s="462"/>
      <c r="M37" s="462"/>
      <c r="N37" s="174"/>
      <c r="O37" s="143"/>
      <c r="P37" s="463" t="s">
        <v>110</v>
      </c>
      <c r="Q37" s="464"/>
      <c r="R37" s="464"/>
      <c r="S37" s="464"/>
      <c r="T37" s="464"/>
      <c r="U37" s="464"/>
      <c r="V37" s="464"/>
      <c r="W37" s="464"/>
      <c r="X37" s="465"/>
    </row>
    <row r="38" spans="1:26" ht="51.75" thickBot="1">
      <c r="A38" s="11"/>
      <c r="B38" s="139" t="s">
        <v>111</v>
      </c>
      <c r="C38" s="139" t="s">
        <v>112</v>
      </c>
      <c r="D38" s="139" t="s">
        <v>113</v>
      </c>
      <c r="E38" s="139" t="s">
        <v>114</v>
      </c>
      <c r="F38" s="139" t="s">
        <v>115</v>
      </c>
      <c r="G38" s="139" t="s">
        <v>116</v>
      </c>
      <c r="H38" s="139" t="s">
        <v>117</v>
      </c>
      <c r="I38" s="60" t="s">
        <v>118</v>
      </c>
      <c r="J38" s="61" t="s">
        <v>118</v>
      </c>
      <c r="K38" s="139" t="s">
        <v>119</v>
      </c>
      <c r="L38" s="139" t="s">
        <v>120</v>
      </c>
      <c r="M38" s="139" t="s">
        <v>121</v>
      </c>
      <c r="N38" s="175" t="s">
        <v>122</v>
      </c>
      <c r="O38" s="11"/>
      <c r="P38" s="466" t="s">
        <v>123</v>
      </c>
      <c r="Q38" s="467"/>
      <c r="R38" s="11"/>
      <c r="S38" s="468" t="s">
        <v>124</v>
      </c>
      <c r="T38" s="469"/>
      <c r="U38" s="469"/>
      <c r="V38" s="469"/>
      <c r="W38" s="469"/>
      <c r="X38" s="470"/>
      <c r="Y38" s="11"/>
      <c r="Z38" s="11"/>
    </row>
    <row r="39" spans="1:26">
      <c r="A39" s="11"/>
      <c r="B39" s="117" t="s">
        <v>389</v>
      </c>
      <c r="C39" s="115"/>
      <c r="D39" s="115"/>
      <c r="E39" s="123">
        <v>0.05</v>
      </c>
      <c r="F39" s="115"/>
      <c r="G39" s="115"/>
      <c r="H39" s="115"/>
      <c r="I39" s="115"/>
      <c r="J39" s="11"/>
      <c r="K39" s="147"/>
      <c r="L39" s="115"/>
      <c r="M39" s="115"/>
      <c r="N39" s="115"/>
      <c r="O39" s="11"/>
      <c r="P39" s="148"/>
      <c r="Q39" s="149"/>
      <c r="R39" s="11"/>
      <c r="S39" s="150" t="s">
        <v>125</v>
      </c>
      <c r="T39" s="151" t="s">
        <v>112</v>
      </c>
      <c r="U39" s="151"/>
      <c r="V39" s="151"/>
      <c r="W39" s="151"/>
      <c r="X39" s="152"/>
      <c r="Y39" s="11"/>
      <c r="Z39" s="11"/>
    </row>
    <row r="40" spans="1:26">
      <c r="A40" s="11"/>
      <c r="B40" s="115"/>
      <c r="C40" s="115" t="s">
        <v>126</v>
      </c>
      <c r="D40" s="115"/>
      <c r="E40" s="115"/>
      <c r="F40" s="123">
        <v>0.6</v>
      </c>
      <c r="G40" s="115"/>
      <c r="H40" s="123">
        <f>$E$39*F40</f>
        <v>0.03</v>
      </c>
      <c r="I40" s="153">
        <f>$C$37*$H40</f>
        <v>4.05</v>
      </c>
      <c r="J40" s="153">
        <f>$D$37*$H40</f>
        <v>1.5</v>
      </c>
      <c r="K40" s="154">
        <f>H40*$E$37</f>
        <v>0.17031456953642385</v>
      </c>
      <c r="L40" s="155"/>
      <c r="M40" s="155"/>
      <c r="N40" s="155"/>
      <c r="O40" s="11"/>
      <c r="P40" s="148" t="s">
        <v>127</v>
      </c>
      <c r="Q40" s="149"/>
      <c r="R40" s="11"/>
      <c r="S40" s="148" t="s">
        <v>127</v>
      </c>
      <c r="T40" s="115" t="s">
        <v>128</v>
      </c>
      <c r="U40" s="115" t="s">
        <v>129</v>
      </c>
      <c r="V40" s="115" t="s">
        <v>130</v>
      </c>
      <c r="W40" s="115" t="s">
        <v>131</v>
      </c>
      <c r="X40" s="149" t="s">
        <v>132</v>
      </c>
      <c r="Y40" s="11"/>
      <c r="Z40" s="11"/>
    </row>
    <row r="41" spans="1:26">
      <c r="A41" s="11"/>
      <c r="B41" s="115"/>
      <c r="C41" s="115" t="s">
        <v>133</v>
      </c>
      <c r="D41" s="115"/>
      <c r="E41" s="115"/>
      <c r="F41" s="123">
        <v>0.2</v>
      </c>
      <c r="G41" s="115"/>
      <c r="H41" s="123">
        <f>$E$39*F41</f>
        <v>1.0000000000000002E-2</v>
      </c>
      <c r="I41" s="153">
        <f>$C$37*H41</f>
        <v>1.3500000000000003</v>
      </c>
      <c r="J41" s="153">
        <f>$D$37*$H41</f>
        <v>0.50000000000000011</v>
      </c>
      <c r="K41" s="154">
        <f>H41*$E$37</f>
        <v>5.6771523178807959E-2</v>
      </c>
      <c r="L41" s="155"/>
      <c r="M41" s="155"/>
      <c r="N41" s="155"/>
      <c r="O41" s="11"/>
      <c r="P41" s="148">
        <v>70</v>
      </c>
      <c r="Q41" s="156">
        <v>1.4579533523151906E-2</v>
      </c>
      <c r="R41" s="11"/>
      <c r="S41" s="148">
        <v>70</v>
      </c>
      <c r="T41" s="157">
        <v>7.267675369765996E-3</v>
      </c>
      <c r="U41" s="123">
        <v>0</v>
      </c>
      <c r="V41" s="123">
        <v>0</v>
      </c>
      <c r="W41" s="123">
        <v>0</v>
      </c>
      <c r="X41" s="156">
        <v>7.1056188985926787E-3</v>
      </c>
      <c r="Y41" s="11"/>
      <c r="Z41" s="11"/>
    </row>
    <row r="42" spans="1:26">
      <c r="A42" s="11"/>
      <c r="B42" s="115"/>
      <c r="C42" s="158" t="s">
        <v>134</v>
      </c>
      <c r="D42" s="115"/>
      <c r="E42" s="115"/>
      <c r="F42" s="123">
        <v>0.2</v>
      </c>
      <c r="G42" s="115"/>
      <c r="H42" s="123">
        <f>$E$39*F42</f>
        <v>1.0000000000000002E-2</v>
      </c>
      <c r="I42" s="153">
        <f>$C$37*H42</f>
        <v>1.3500000000000003</v>
      </c>
      <c r="J42" s="153">
        <f>$D$37*$H42</f>
        <v>0.50000000000000011</v>
      </c>
      <c r="K42" s="154">
        <f>H42*$E$37</f>
        <v>5.6771523178807959E-2</v>
      </c>
      <c r="L42" s="155"/>
      <c r="M42" s="155"/>
      <c r="N42" s="155"/>
      <c r="O42" s="11"/>
      <c r="P42" s="148"/>
      <c r="Q42" s="156"/>
      <c r="R42" s="11"/>
      <c r="S42" s="148"/>
      <c r="T42" s="157"/>
      <c r="U42" s="123"/>
      <c r="V42" s="123"/>
      <c r="W42" s="123"/>
      <c r="X42" s="156"/>
      <c r="Y42" s="11"/>
      <c r="Z42" s="11"/>
    </row>
    <row r="43" spans="1:26">
      <c r="A43" s="11"/>
      <c r="B43" s="115" t="s">
        <v>72</v>
      </c>
      <c r="C43" s="115"/>
      <c r="D43" s="115"/>
      <c r="E43" s="123">
        <v>0.25</v>
      </c>
      <c r="F43" s="115"/>
      <c r="G43" s="115"/>
      <c r="H43" s="115"/>
      <c r="I43" s="159"/>
      <c r="J43" s="11"/>
      <c r="K43" s="160"/>
      <c r="L43" s="155">
        <v>1.5</v>
      </c>
      <c r="M43" s="155">
        <f>SUM(K41,K42,K44,K47)</f>
        <v>1.3909023178807949</v>
      </c>
      <c r="N43" s="155">
        <f>M43*$Q$55</f>
        <v>1.3352662251655629</v>
      </c>
      <c r="O43" s="11"/>
      <c r="P43" s="148">
        <v>85</v>
      </c>
      <c r="Q43" s="156">
        <v>3.1711622490291284E-3</v>
      </c>
      <c r="R43" s="11"/>
      <c r="S43" s="148">
        <v>85</v>
      </c>
      <c r="T43" s="157">
        <v>0</v>
      </c>
      <c r="U43" s="123">
        <v>0</v>
      </c>
      <c r="V43" s="123">
        <v>0</v>
      </c>
      <c r="W43" s="123">
        <v>8.9060086100879635E-2</v>
      </c>
      <c r="X43" s="156">
        <v>1.876711998433544E-3</v>
      </c>
      <c r="Y43" s="11"/>
      <c r="Z43" s="11"/>
    </row>
    <row r="44" spans="1:26">
      <c r="A44" s="11"/>
      <c r="B44" s="115"/>
      <c r="C44" s="115" t="s">
        <v>135</v>
      </c>
      <c r="D44" s="115"/>
      <c r="E44" s="115"/>
      <c r="F44" s="123">
        <v>0.85</v>
      </c>
      <c r="G44" s="115"/>
      <c r="H44" s="123">
        <f>$E$43*F44</f>
        <v>0.21249999999999999</v>
      </c>
      <c r="I44" s="159">
        <f>$C$37*H44</f>
        <v>28.6875</v>
      </c>
      <c r="J44" s="32">
        <f>$D$37*$H44</f>
        <v>10.625</v>
      </c>
      <c r="K44" s="154">
        <f>H44*$E$37</f>
        <v>1.206394867549669</v>
      </c>
      <c r="L44" s="155"/>
      <c r="M44" s="155"/>
      <c r="N44" s="155"/>
      <c r="O44" s="11"/>
      <c r="P44" s="148">
        <v>100</v>
      </c>
      <c r="Q44" s="156">
        <v>0.60679257048275359</v>
      </c>
      <c r="R44" s="11"/>
      <c r="S44" s="148">
        <v>100</v>
      </c>
      <c r="T44" s="157">
        <v>0.43210979007481276</v>
      </c>
      <c r="U44" s="123">
        <v>0</v>
      </c>
      <c r="V44" s="123">
        <v>0</v>
      </c>
      <c r="W44" s="123">
        <v>0</v>
      </c>
      <c r="X44" s="156">
        <v>0.42247449623239919</v>
      </c>
      <c r="Y44" s="47">
        <f>T44/(SUM($T$44:$T$45))</f>
        <v>0.72882957849097352</v>
      </c>
      <c r="Z44" s="11"/>
    </row>
    <row r="45" spans="1:26">
      <c r="A45" s="11"/>
      <c r="B45" s="115"/>
      <c r="C45" s="115" t="s">
        <v>136</v>
      </c>
      <c r="D45" s="115"/>
      <c r="E45" s="115"/>
      <c r="F45" s="123">
        <v>0.05</v>
      </c>
      <c r="G45" s="115"/>
      <c r="H45" s="123">
        <f>$E$43*F45</f>
        <v>1.2500000000000001E-2</v>
      </c>
      <c r="I45" s="153">
        <f>$C$37*H45</f>
        <v>1.6875</v>
      </c>
      <c r="J45" s="32">
        <f>$D$37*$H45</f>
        <v>0.625</v>
      </c>
      <c r="K45" s="154">
        <f>H45*$E$37</f>
        <v>7.0964403973509935E-2</v>
      </c>
      <c r="L45" s="155"/>
      <c r="M45" s="155"/>
      <c r="N45" s="155"/>
      <c r="O45" s="11"/>
      <c r="P45" s="148">
        <v>150</v>
      </c>
      <c r="Q45" s="156">
        <v>0.15050998839997615</v>
      </c>
      <c r="R45" s="11"/>
      <c r="S45" s="148">
        <v>150</v>
      </c>
      <c r="T45" s="157">
        <v>0.16077200675001846</v>
      </c>
      <c r="U45" s="123">
        <v>0</v>
      </c>
      <c r="V45" s="123">
        <v>0</v>
      </c>
      <c r="W45" s="123">
        <v>0</v>
      </c>
      <c r="X45" s="156">
        <v>0.1571870717120904</v>
      </c>
      <c r="Y45" s="47">
        <f>T45/(SUM($T$44:$T$45))</f>
        <v>0.27117042150902643</v>
      </c>
      <c r="Z45" s="11"/>
    </row>
    <row r="46" spans="1:26">
      <c r="A46" s="11"/>
      <c r="B46" s="115"/>
      <c r="C46" s="115" t="s">
        <v>137</v>
      </c>
      <c r="D46" s="115"/>
      <c r="E46" s="115"/>
      <c r="F46" s="123">
        <v>0.05</v>
      </c>
      <c r="G46" s="115"/>
      <c r="H46" s="123">
        <f>$E$43*F46</f>
        <v>1.2500000000000001E-2</v>
      </c>
      <c r="I46" s="153">
        <f>$C$37*H46</f>
        <v>1.6875</v>
      </c>
      <c r="J46" s="32">
        <f>$D$37*$H46</f>
        <v>0.625</v>
      </c>
      <c r="K46" s="154">
        <f>H46*$E$37</f>
        <v>7.0964403973509935E-2</v>
      </c>
      <c r="L46" s="155"/>
      <c r="M46" s="155"/>
      <c r="N46" s="155"/>
      <c r="O46" s="11"/>
      <c r="P46" s="148">
        <v>175</v>
      </c>
      <c r="Q46" s="156">
        <v>4.0347909015465169E-4</v>
      </c>
      <c r="R46" s="11"/>
      <c r="S46" s="148">
        <v>175</v>
      </c>
      <c r="T46" s="157">
        <v>0</v>
      </c>
      <c r="U46" s="123">
        <v>0</v>
      </c>
      <c r="V46" s="123">
        <v>1</v>
      </c>
      <c r="W46" s="123">
        <v>0</v>
      </c>
      <c r="X46" s="156">
        <v>4.9160843240238174E-4</v>
      </c>
      <c r="Y46" s="11"/>
      <c r="Z46" s="11"/>
    </row>
    <row r="47" spans="1:26">
      <c r="A47" s="11"/>
      <c r="B47" s="115"/>
      <c r="C47" s="115" t="s">
        <v>138</v>
      </c>
      <c r="D47" s="115"/>
      <c r="E47" s="115"/>
      <c r="F47" s="123">
        <v>0.05</v>
      </c>
      <c r="G47" s="115"/>
      <c r="H47" s="123">
        <f>$E$43*F47</f>
        <v>1.2500000000000001E-2</v>
      </c>
      <c r="I47" s="153">
        <f>$C$37*H47</f>
        <v>1.6875</v>
      </c>
      <c r="J47" s="32">
        <f>$D$37*$H47</f>
        <v>0.625</v>
      </c>
      <c r="K47" s="154">
        <f>H47*$E$37</f>
        <v>7.0964403973509935E-2</v>
      </c>
      <c r="L47" s="155"/>
      <c r="M47" s="155"/>
      <c r="N47" s="155"/>
      <c r="O47" s="11"/>
      <c r="P47" s="148">
        <v>200</v>
      </c>
      <c r="Q47" s="156">
        <v>0.10896191249088732</v>
      </c>
      <c r="R47" s="11"/>
      <c r="S47" s="148">
        <v>200</v>
      </c>
      <c r="T47" s="157">
        <v>0.15518815299643049</v>
      </c>
      <c r="U47" s="123">
        <v>0</v>
      </c>
      <c r="V47" s="123">
        <v>0</v>
      </c>
      <c r="W47" s="123">
        <v>0</v>
      </c>
      <c r="X47" s="156">
        <v>0.15172772814763646</v>
      </c>
      <c r="Y47" s="11"/>
      <c r="Z47" s="11"/>
    </row>
    <row r="48" spans="1:26">
      <c r="A48" s="11"/>
      <c r="B48" s="115"/>
      <c r="C48" s="115"/>
      <c r="D48" s="115"/>
      <c r="E48" s="115"/>
      <c r="F48" s="115"/>
      <c r="G48" s="115"/>
      <c r="H48" s="115"/>
      <c r="I48" s="153"/>
      <c r="J48" s="11"/>
      <c r="K48" s="160"/>
      <c r="L48" s="115"/>
      <c r="M48" s="115"/>
      <c r="N48" s="115"/>
      <c r="O48" s="11"/>
      <c r="P48" s="148">
        <v>250</v>
      </c>
      <c r="Q48" s="156">
        <v>7.1116124033140299E-2</v>
      </c>
      <c r="R48" s="11"/>
      <c r="S48" s="148">
        <v>250</v>
      </c>
      <c r="T48" s="157">
        <v>0.1258572647897028</v>
      </c>
      <c r="U48" s="123">
        <v>1</v>
      </c>
      <c r="V48" s="123">
        <v>0</v>
      </c>
      <c r="W48" s="123">
        <v>0</v>
      </c>
      <c r="X48" s="156">
        <v>0.12378508792139087</v>
      </c>
      <c r="Y48" s="11"/>
      <c r="Z48" s="11"/>
    </row>
    <row r="49" spans="1:26">
      <c r="A49" s="11"/>
      <c r="B49" s="115"/>
      <c r="C49" s="115"/>
      <c r="D49" s="115"/>
      <c r="E49" s="115"/>
      <c r="F49" s="115"/>
      <c r="G49" s="115"/>
      <c r="H49" s="115"/>
      <c r="I49" s="153"/>
      <c r="J49" s="11"/>
      <c r="K49" s="160"/>
      <c r="L49" s="115"/>
      <c r="M49" s="115"/>
      <c r="N49" s="115"/>
      <c r="O49" s="11"/>
      <c r="P49" s="148">
        <v>400</v>
      </c>
      <c r="Q49" s="156">
        <v>4.1708183748045649E-2</v>
      </c>
      <c r="R49" s="11"/>
      <c r="S49" s="148">
        <v>400</v>
      </c>
      <c r="T49" s="157">
        <v>0.11880511001926951</v>
      </c>
      <c r="U49" s="123">
        <v>0</v>
      </c>
      <c r="V49" s="123">
        <v>0</v>
      </c>
      <c r="W49" s="123">
        <v>0</v>
      </c>
      <c r="X49" s="156">
        <v>0.11615596350301552</v>
      </c>
      <c r="Y49" s="11"/>
      <c r="Z49" s="11"/>
    </row>
    <row r="50" spans="1:26">
      <c r="A50" s="11"/>
      <c r="B50" s="115" t="s">
        <v>139</v>
      </c>
      <c r="C50" s="115"/>
      <c r="D50" s="115"/>
      <c r="E50" s="123">
        <v>0.05</v>
      </c>
      <c r="F50" s="115"/>
      <c r="G50" s="115"/>
      <c r="H50" s="115"/>
      <c r="I50" s="153"/>
      <c r="J50" s="11"/>
      <c r="K50" s="160"/>
      <c r="L50" s="115"/>
      <c r="M50" s="115"/>
      <c r="N50" s="115"/>
      <c r="O50" s="11"/>
      <c r="P50" s="148">
        <v>1000</v>
      </c>
      <c r="Q50" s="156">
        <v>2.7570459828613089E-3</v>
      </c>
      <c r="R50" s="11"/>
      <c r="S50" s="148">
        <v>1000</v>
      </c>
      <c r="T50" s="157">
        <v>0</v>
      </c>
      <c r="U50" s="123">
        <v>0</v>
      </c>
      <c r="V50" s="123">
        <v>0</v>
      </c>
      <c r="W50" s="123">
        <v>0.91093991389912032</v>
      </c>
      <c r="X50" s="156">
        <v>1.9195713154038972E-2</v>
      </c>
      <c r="Y50" s="11"/>
      <c r="Z50" s="11"/>
    </row>
    <row r="51" spans="1:26">
      <c r="A51" s="11"/>
      <c r="B51" s="115"/>
      <c r="C51" s="115" t="s">
        <v>140</v>
      </c>
      <c r="D51" s="115"/>
      <c r="E51" s="115"/>
      <c r="F51" s="123">
        <v>0.6</v>
      </c>
      <c r="G51" s="115"/>
      <c r="H51" s="115"/>
      <c r="I51" s="153"/>
      <c r="J51" s="11"/>
      <c r="K51" s="160"/>
      <c r="L51" s="115"/>
      <c r="M51" s="115"/>
      <c r="N51" s="115"/>
      <c r="O51" s="11"/>
      <c r="P51" s="148" t="s">
        <v>131</v>
      </c>
      <c r="Q51" s="161">
        <v>0</v>
      </c>
      <c r="R51" s="11"/>
      <c r="S51" s="148" t="s">
        <v>131</v>
      </c>
      <c r="T51" s="123">
        <v>0</v>
      </c>
      <c r="U51" s="123">
        <v>0</v>
      </c>
      <c r="V51" s="123">
        <v>0</v>
      </c>
      <c r="W51" s="123">
        <v>0</v>
      </c>
      <c r="X51" s="162">
        <v>0</v>
      </c>
      <c r="Y51" s="11"/>
      <c r="Z51" s="11"/>
    </row>
    <row r="52" spans="1:26" ht="13.5" thickBot="1">
      <c r="A52" s="11"/>
      <c r="B52" s="115"/>
      <c r="C52" s="115"/>
      <c r="D52" s="115" t="s">
        <v>141</v>
      </c>
      <c r="E52" s="115"/>
      <c r="F52" s="115"/>
      <c r="G52" s="123">
        <v>0.45</v>
      </c>
      <c r="H52" s="123">
        <f>$E$50*$F$51*G52</f>
        <v>1.35E-2</v>
      </c>
      <c r="I52" s="153">
        <f>$C$37*H52</f>
        <v>1.8225</v>
      </c>
      <c r="J52" s="32">
        <f>$D$37*$H52</f>
        <v>0.67500000000000004</v>
      </c>
      <c r="K52" s="154">
        <f>H52*$E$37</f>
        <v>7.6641556291390731E-2</v>
      </c>
      <c r="L52" s="155"/>
      <c r="M52" s="155"/>
      <c r="N52" s="155"/>
      <c r="O52" s="11"/>
      <c r="P52" s="163" t="s">
        <v>132</v>
      </c>
      <c r="Q52" s="164">
        <v>1</v>
      </c>
      <c r="R52" s="11"/>
      <c r="S52" s="163" t="s">
        <v>132</v>
      </c>
      <c r="T52" s="165">
        <v>1</v>
      </c>
      <c r="U52" s="165">
        <v>1</v>
      </c>
      <c r="V52" s="165">
        <v>1</v>
      </c>
      <c r="W52" s="165">
        <v>1</v>
      </c>
      <c r="X52" s="164">
        <v>1</v>
      </c>
      <c r="Y52" s="11"/>
      <c r="Z52" s="11"/>
    </row>
    <row r="53" spans="1:26">
      <c r="A53" s="11"/>
      <c r="B53" s="115"/>
      <c r="C53" s="115"/>
      <c r="D53" s="115" t="s">
        <v>142</v>
      </c>
      <c r="E53" s="115"/>
      <c r="F53" s="115"/>
      <c r="G53" s="123">
        <v>0.5</v>
      </c>
      <c r="H53" s="123">
        <f>$E$50*$F$51*G53</f>
        <v>1.4999999999999999E-2</v>
      </c>
      <c r="I53" s="153">
        <f>$C$37*H53</f>
        <v>2.0249999999999999</v>
      </c>
      <c r="J53" s="32">
        <f>$D$37*$H53</f>
        <v>0.75</v>
      </c>
      <c r="K53" s="154">
        <f>H53*$E$37</f>
        <v>8.5157284768211924E-2</v>
      </c>
      <c r="L53" s="155"/>
      <c r="M53" s="155"/>
      <c r="N53" s="155"/>
      <c r="O53" s="11"/>
      <c r="P53" s="11"/>
      <c r="Q53" s="11"/>
      <c r="R53" s="11"/>
      <c r="S53" s="11"/>
      <c r="T53" s="11"/>
      <c r="U53" s="11"/>
      <c r="V53" s="11"/>
      <c r="W53" s="11"/>
      <c r="X53" s="11"/>
      <c r="Y53" s="11"/>
      <c r="Z53" s="11"/>
    </row>
    <row r="54" spans="1:26">
      <c r="A54" s="11"/>
      <c r="B54" s="115"/>
      <c r="C54" s="115"/>
      <c r="D54" s="115" t="s">
        <v>143</v>
      </c>
      <c r="E54" s="115"/>
      <c r="F54" s="115"/>
      <c r="G54" s="123">
        <v>0.05</v>
      </c>
      <c r="H54" s="123">
        <f>$E$50*$F$51*G54</f>
        <v>1.5E-3</v>
      </c>
      <c r="I54" s="153">
        <f>$C$37*H54</f>
        <v>0.20250000000000001</v>
      </c>
      <c r="J54" s="32">
        <f>$D$37*$H54</f>
        <v>7.4999999999999997E-2</v>
      </c>
      <c r="K54" s="154">
        <f>H54*$E$37</f>
        <v>8.5157284768211921E-3</v>
      </c>
      <c r="L54" s="155"/>
      <c r="M54" s="155"/>
      <c r="N54" s="155"/>
      <c r="O54" s="11"/>
      <c r="P54" s="11" t="s">
        <v>144</v>
      </c>
      <c r="Q54" s="166">
        <f>SUMPRODUCT(P41:P50,Q41:Q50)</f>
        <v>143.62821327537907</v>
      </c>
      <c r="R54" s="11"/>
      <c r="S54" s="11"/>
      <c r="T54" s="11"/>
      <c r="U54" s="11"/>
      <c r="V54" s="11"/>
      <c r="W54" s="11"/>
      <c r="X54" s="166">
        <f>SUMPRODUCT(X41:X50,S41:S50)</f>
        <v>193.5183718636124</v>
      </c>
      <c r="Y54" s="11" t="s">
        <v>145</v>
      </c>
      <c r="Z54" s="11"/>
    </row>
    <row r="55" spans="1:26">
      <c r="A55" s="11"/>
      <c r="B55" s="115"/>
      <c r="C55" s="115" t="s">
        <v>146</v>
      </c>
      <c r="D55" s="115"/>
      <c r="E55" s="115"/>
      <c r="F55" s="123">
        <v>0.4</v>
      </c>
      <c r="G55" s="115"/>
      <c r="H55" s="115"/>
      <c r="I55" s="159"/>
      <c r="J55" s="11"/>
      <c r="K55" s="160"/>
      <c r="L55" s="115"/>
      <c r="M55" s="115"/>
      <c r="N55" s="115"/>
      <c r="O55" s="11"/>
      <c r="P55" s="11" t="s">
        <v>147</v>
      </c>
      <c r="Q55" s="167">
        <v>0.96</v>
      </c>
      <c r="R55" s="11"/>
      <c r="S55" s="11"/>
      <c r="T55" s="11"/>
      <c r="U55" s="11"/>
      <c r="V55" s="11"/>
      <c r="W55" s="11"/>
      <c r="X55" s="11"/>
      <c r="Y55" s="11"/>
      <c r="Z55" s="11"/>
    </row>
    <row r="56" spans="1:26">
      <c r="A56" s="11"/>
      <c r="B56" s="115"/>
      <c r="C56" s="115"/>
      <c r="D56" s="115" t="s">
        <v>141</v>
      </c>
      <c r="E56" s="115"/>
      <c r="F56" s="115"/>
      <c r="G56" s="123">
        <v>0.3</v>
      </c>
      <c r="H56" s="123">
        <f>$E$50*$F$55*G56</f>
        <v>6.000000000000001E-3</v>
      </c>
      <c r="I56" s="153">
        <f>$C$37*H56</f>
        <v>0.81000000000000016</v>
      </c>
      <c r="J56" s="32">
        <f>$D$37*$H56</f>
        <v>0.30000000000000004</v>
      </c>
      <c r="K56" s="154">
        <f>H56*$E$37</f>
        <v>3.4062913907284775E-2</v>
      </c>
      <c r="L56" s="155"/>
      <c r="M56" s="155"/>
      <c r="N56" s="155"/>
      <c r="O56" s="11"/>
      <c r="P56" s="11"/>
      <c r="Q56" s="11"/>
      <c r="R56" s="11"/>
      <c r="S56" s="11"/>
      <c r="T56" s="11"/>
      <c r="U56" s="11"/>
      <c r="V56" s="11"/>
      <c r="W56" s="11"/>
      <c r="X56" s="11"/>
      <c r="Y56" s="11"/>
      <c r="Z56" s="11"/>
    </row>
    <row r="57" spans="1:26">
      <c r="A57" s="11"/>
      <c r="B57" s="115"/>
      <c r="C57" s="115"/>
      <c r="D57" s="115" t="s">
        <v>142</v>
      </c>
      <c r="E57" s="115"/>
      <c r="F57" s="115"/>
      <c r="G57" s="123">
        <v>0.4</v>
      </c>
      <c r="H57" s="123">
        <f>$E$50*$F$55*G57</f>
        <v>8.0000000000000019E-3</v>
      </c>
      <c r="I57" s="153">
        <f>$C$37*H57</f>
        <v>1.0800000000000003</v>
      </c>
      <c r="J57" s="32">
        <f>$D$37*$H57</f>
        <v>0.40000000000000008</v>
      </c>
      <c r="K57" s="154">
        <f>H57*$E$37</f>
        <v>4.5417218543046374E-2</v>
      </c>
      <c r="L57" s="155"/>
      <c r="M57" s="155"/>
      <c r="N57" s="155"/>
      <c r="O57" s="11"/>
      <c r="P57" s="11"/>
      <c r="Q57" s="11"/>
      <c r="R57" s="11"/>
      <c r="S57" s="11"/>
      <c r="T57" s="11"/>
      <c r="U57" s="11"/>
      <c r="V57" s="11"/>
      <c r="W57" s="11"/>
      <c r="X57" s="11"/>
      <c r="Y57" s="11"/>
      <c r="Z57" s="11"/>
    </row>
    <row r="58" spans="1:26">
      <c r="A58" s="11"/>
      <c r="B58" s="115"/>
      <c r="C58" s="115"/>
      <c r="D58" s="115" t="s">
        <v>143</v>
      </c>
      <c r="E58" s="115"/>
      <c r="F58" s="115"/>
      <c r="G58" s="123">
        <v>0.3</v>
      </c>
      <c r="H58" s="123">
        <f>$E$50*$F$55*G58</f>
        <v>6.000000000000001E-3</v>
      </c>
      <c r="I58" s="153">
        <f>$C$37*H58</f>
        <v>0.81000000000000016</v>
      </c>
      <c r="J58" s="32">
        <f>$D$37*$H58</f>
        <v>0.30000000000000004</v>
      </c>
      <c r="K58" s="154">
        <f>H58*$E$37</f>
        <v>3.4062913907284775E-2</v>
      </c>
      <c r="L58" s="155"/>
      <c r="M58" s="155"/>
      <c r="N58" s="155"/>
      <c r="O58" s="11"/>
      <c r="P58" s="11"/>
      <c r="Q58" s="11"/>
      <c r="R58" s="11"/>
      <c r="S58" s="11"/>
      <c r="T58" s="11"/>
      <c r="U58" s="11"/>
      <c r="V58" s="11"/>
      <c r="W58" s="11"/>
      <c r="X58" s="11"/>
      <c r="Y58" s="11"/>
      <c r="Z58" s="11"/>
    </row>
    <row r="59" spans="1:26">
      <c r="A59" s="11"/>
      <c r="B59" s="115"/>
      <c r="C59" s="115"/>
      <c r="D59" s="115"/>
      <c r="E59" s="115"/>
      <c r="F59" s="115"/>
      <c r="G59" s="115"/>
      <c r="H59" s="115"/>
      <c r="I59" s="115"/>
      <c r="J59" s="11"/>
      <c r="K59" s="160"/>
      <c r="L59" s="115"/>
      <c r="M59" s="115"/>
      <c r="N59" s="115"/>
      <c r="O59" s="11"/>
      <c r="P59" s="11"/>
      <c r="Q59" s="11"/>
      <c r="R59" s="11"/>
      <c r="S59" s="11"/>
      <c r="T59" s="11"/>
      <c r="U59" s="11"/>
      <c r="V59" s="11"/>
      <c r="W59" s="11"/>
      <c r="X59" s="11"/>
      <c r="Y59" s="11"/>
      <c r="Z59" s="11"/>
    </row>
    <row r="60" spans="1:26">
      <c r="A60" s="11"/>
      <c r="B60" s="115" t="s">
        <v>148</v>
      </c>
      <c r="C60" s="115"/>
      <c r="D60" s="115"/>
      <c r="E60" s="123">
        <v>0.35</v>
      </c>
      <c r="F60" s="115"/>
      <c r="G60" s="115"/>
      <c r="H60" s="115"/>
      <c r="I60" s="115"/>
      <c r="J60" s="11"/>
      <c r="K60" s="160"/>
      <c r="L60" s="155"/>
      <c r="M60" s="155"/>
      <c r="N60" s="155"/>
      <c r="O60" s="11"/>
      <c r="P60" s="11"/>
      <c r="Q60" s="11"/>
      <c r="R60" s="11"/>
      <c r="S60" s="11"/>
      <c r="T60" s="11"/>
      <c r="U60" s="11"/>
      <c r="V60" s="11"/>
      <c r="W60" s="11"/>
      <c r="X60" s="11"/>
      <c r="Y60" s="11"/>
      <c r="Z60" s="11"/>
    </row>
    <row r="61" spans="1:26">
      <c r="A61" s="11"/>
      <c r="B61" s="115"/>
      <c r="C61" s="115" t="s">
        <v>149</v>
      </c>
      <c r="D61" s="115"/>
      <c r="E61" s="115"/>
      <c r="F61" s="123">
        <v>0.4</v>
      </c>
      <c r="G61" s="115"/>
      <c r="H61" s="123">
        <f>E60*F61</f>
        <v>0.13999999999999999</v>
      </c>
      <c r="I61" s="153">
        <f>$C$37*H61</f>
        <v>18.899999999999999</v>
      </c>
      <c r="J61" s="32">
        <f>$D$37*$H61</f>
        <v>6.9999999999999991</v>
      </c>
      <c r="K61" s="154">
        <f>H61*$E$37</f>
        <v>0.7948013245033112</v>
      </c>
      <c r="L61" s="11"/>
      <c r="M61" s="11"/>
      <c r="N61" s="11"/>
      <c r="O61" s="11"/>
      <c r="P61" s="11"/>
      <c r="Q61" s="11"/>
      <c r="R61" s="11"/>
      <c r="S61" s="11"/>
      <c r="T61" s="11"/>
      <c r="U61" s="11"/>
      <c r="V61" s="11"/>
      <c r="W61" s="11"/>
      <c r="X61" s="11"/>
      <c r="Y61" s="11"/>
      <c r="Z61" s="11"/>
    </row>
    <row r="62" spans="1:26">
      <c r="A62" s="11"/>
      <c r="B62" s="115"/>
      <c r="C62" s="115" t="s">
        <v>150</v>
      </c>
      <c r="D62" s="115"/>
      <c r="E62" s="115"/>
      <c r="F62" s="123">
        <v>0.6</v>
      </c>
      <c r="G62" s="115"/>
      <c r="H62" s="123">
        <f>E60*F62</f>
        <v>0.21</v>
      </c>
      <c r="I62" s="153">
        <f>$C$37*H62</f>
        <v>28.349999999999998</v>
      </c>
      <c r="J62" s="32">
        <f>$D$37*$H62</f>
        <v>10.5</v>
      </c>
      <c r="K62" s="154">
        <f>H62*$E$37</f>
        <v>1.1922019867549669</v>
      </c>
      <c r="L62" s="11"/>
      <c r="M62" s="11"/>
      <c r="N62" s="11"/>
      <c r="O62" s="11"/>
      <c r="P62" s="11"/>
      <c r="Q62" s="11"/>
      <c r="R62" s="11"/>
      <c r="S62" s="11"/>
      <c r="T62" s="11"/>
      <c r="U62" s="11"/>
      <c r="V62" s="11"/>
      <c r="W62" s="11"/>
      <c r="X62" s="11"/>
      <c r="Y62" s="11"/>
      <c r="Z62" s="11"/>
    </row>
    <row r="63" spans="1:26">
      <c r="A63" s="11"/>
      <c r="B63" s="115" t="s">
        <v>151</v>
      </c>
      <c r="C63" s="115"/>
      <c r="D63" s="115"/>
      <c r="E63" s="123">
        <v>0.3</v>
      </c>
      <c r="F63" s="115"/>
      <c r="G63" s="115"/>
      <c r="H63" s="115"/>
      <c r="I63" s="115"/>
      <c r="J63" s="11"/>
      <c r="K63" s="160"/>
      <c r="L63" s="11"/>
      <c r="M63" s="11"/>
      <c r="N63" s="11"/>
      <c r="O63" s="11"/>
      <c r="P63" s="11"/>
      <c r="Q63" s="11"/>
      <c r="R63" s="11"/>
      <c r="S63" s="11"/>
      <c r="T63" s="11"/>
      <c r="U63" s="11"/>
      <c r="V63" s="11"/>
      <c r="W63" s="11"/>
      <c r="X63" s="11"/>
      <c r="Y63" s="11"/>
      <c r="Z63" s="11"/>
    </row>
    <row r="64" spans="1:26">
      <c r="A64" s="11"/>
      <c r="B64" s="115"/>
      <c r="C64" s="115" t="s">
        <v>152</v>
      </c>
      <c r="D64" s="115"/>
      <c r="E64" s="115"/>
      <c r="F64" s="123">
        <v>0.6</v>
      </c>
      <c r="G64" s="115"/>
      <c r="H64" s="123">
        <f>E63*F64</f>
        <v>0.18</v>
      </c>
      <c r="I64" s="153">
        <f>$C$37*H64</f>
        <v>24.3</v>
      </c>
      <c r="J64" s="32">
        <f>$D$37*$H64</f>
        <v>9</v>
      </c>
      <c r="K64" s="154">
        <f>H64*$E$37</f>
        <v>1.021887417218543</v>
      </c>
      <c r="L64" s="11"/>
      <c r="M64" s="11"/>
      <c r="N64" s="11"/>
      <c r="O64" s="11"/>
      <c r="P64" s="11"/>
      <c r="Q64" s="11"/>
      <c r="R64" s="11"/>
      <c r="S64" s="11"/>
      <c r="T64" s="11"/>
      <c r="U64" s="11"/>
      <c r="V64" s="11"/>
      <c r="W64" s="11"/>
      <c r="X64" s="11"/>
      <c r="Y64" s="11"/>
      <c r="Z64" s="11"/>
    </row>
    <row r="65" spans="1:26">
      <c r="A65" s="11"/>
      <c r="B65" s="115"/>
      <c r="C65" s="158" t="s">
        <v>153</v>
      </c>
      <c r="D65" s="115"/>
      <c r="E65" s="115"/>
      <c r="F65" s="123">
        <v>0.4</v>
      </c>
      <c r="G65" s="115"/>
      <c r="H65" s="123">
        <f>E63*F65</f>
        <v>0.12</v>
      </c>
      <c r="I65" s="153">
        <f>$C$37*H65</f>
        <v>16.2</v>
      </c>
      <c r="J65" s="32">
        <f>$D$37*$H65</f>
        <v>6</v>
      </c>
      <c r="K65" s="154">
        <f>H65*$E$37</f>
        <v>0.6812582781456954</v>
      </c>
      <c r="L65" s="11"/>
      <c r="M65" s="11"/>
      <c r="N65" s="11"/>
      <c r="O65" s="11"/>
      <c r="P65" s="11"/>
      <c r="Q65" s="11"/>
      <c r="R65" s="11"/>
      <c r="S65" s="11"/>
      <c r="T65" s="11"/>
      <c r="U65" s="11"/>
      <c r="V65" s="11"/>
      <c r="W65" s="11"/>
      <c r="X65" s="11"/>
      <c r="Y65" s="11"/>
      <c r="Z65" s="11"/>
    </row>
    <row r="66" spans="1:26">
      <c r="A66" s="11"/>
      <c r="B66" s="115"/>
      <c r="C66" s="115"/>
      <c r="D66" s="115"/>
      <c r="E66" s="115"/>
      <c r="F66" s="115"/>
      <c r="G66" s="115"/>
      <c r="H66" s="115"/>
      <c r="I66" s="115"/>
      <c r="J66" s="11"/>
      <c r="K66" s="160"/>
      <c r="L66" s="11"/>
      <c r="M66" s="11"/>
      <c r="N66" s="11"/>
      <c r="O66" s="11"/>
      <c r="P66" s="11"/>
      <c r="Q66" s="11"/>
      <c r="R66" s="11"/>
      <c r="S66" s="11"/>
      <c r="T66" s="11"/>
      <c r="U66" s="11"/>
      <c r="V66" s="11"/>
      <c r="W66" s="11"/>
      <c r="X66" s="11"/>
      <c r="Y66" s="11"/>
      <c r="Z66" s="11"/>
    </row>
    <row r="67" spans="1:26">
      <c r="A67" s="11"/>
      <c r="B67" s="115"/>
      <c r="C67" s="115"/>
      <c r="D67" s="115"/>
      <c r="E67" s="115"/>
      <c r="F67" s="115"/>
      <c r="G67" s="115"/>
      <c r="H67" s="115"/>
      <c r="I67" s="115"/>
      <c r="J67" s="11"/>
      <c r="K67" s="160"/>
      <c r="L67" s="11"/>
      <c r="M67" s="11"/>
      <c r="N67" s="11"/>
      <c r="O67" s="11"/>
      <c r="P67" s="11"/>
      <c r="Q67" s="11"/>
      <c r="R67" s="11"/>
      <c r="S67" s="11"/>
      <c r="T67" s="11"/>
      <c r="U67" s="11"/>
      <c r="V67" s="11"/>
      <c r="W67" s="11"/>
      <c r="X67" s="11"/>
      <c r="Y67" s="11"/>
      <c r="Z67" s="11"/>
    </row>
    <row r="68" spans="1:26">
      <c r="A68" s="11"/>
      <c r="B68" s="115" t="s">
        <v>154</v>
      </c>
      <c r="C68" s="115"/>
      <c r="D68" s="115"/>
      <c r="E68" s="123">
        <f>SUM(E39:E65)</f>
        <v>1</v>
      </c>
      <c r="F68" s="123">
        <f>SUM(F39:F65)</f>
        <v>5</v>
      </c>
      <c r="G68" s="123">
        <f>SUM(G39:G65)</f>
        <v>2</v>
      </c>
      <c r="H68" s="123">
        <f>SUM(H39:H65)</f>
        <v>1</v>
      </c>
      <c r="I68" s="159">
        <f>SUM(I40:I65)</f>
        <v>135</v>
      </c>
      <c r="J68" s="166">
        <f>SUM(J40:J65)</f>
        <v>50</v>
      </c>
      <c r="K68" s="168">
        <f>SUM(K40:K65)</f>
        <v>5.677152317880795</v>
      </c>
      <c r="L68" s="11"/>
      <c r="M68" s="11"/>
      <c r="N68" s="11"/>
      <c r="O68" s="11"/>
      <c r="P68" s="11"/>
      <c r="Q68" s="11"/>
      <c r="R68" s="11"/>
      <c r="S68" s="11"/>
      <c r="T68" s="11"/>
      <c r="U68" s="11"/>
      <c r="V68" s="11"/>
      <c r="W68" s="11"/>
      <c r="X68" s="11"/>
      <c r="Y68" s="11"/>
      <c r="Z68" s="11"/>
    </row>
    <row r="69" spans="1:26">
      <c r="A69" s="11"/>
      <c r="B69" s="115"/>
      <c r="C69" s="115"/>
      <c r="D69" s="115"/>
      <c r="E69" s="123"/>
      <c r="F69" s="123"/>
      <c r="G69" s="123"/>
      <c r="H69" s="123"/>
      <c r="I69" s="159"/>
      <c r="J69" s="166"/>
      <c r="K69" s="169"/>
      <c r="L69" s="11"/>
      <c r="M69" s="11"/>
      <c r="N69" s="11"/>
      <c r="O69" s="11"/>
      <c r="P69" s="11"/>
      <c r="Q69" s="11"/>
      <c r="R69" s="11"/>
      <c r="S69" s="11"/>
      <c r="T69" s="11"/>
      <c r="U69" s="11"/>
      <c r="V69" s="11"/>
      <c r="W69" s="11"/>
      <c r="X69" s="11"/>
      <c r="Y69" s="11"/>
      <c r="Z69" s="11"/>
    </row>
    <row r="70" spans="1:26">
      <c r="A70" s="11"/>
      <c r="B70" s="115"/>
      <c r="C70" s="115" t="s">
        <v>128</v>
      </c>
      <c r="D70" s="115"/>
      <c r="E70" s="123"/>
      <c r="F70" s="123"/>
      <c r="G70" s="123"/>
      <c r="H70" s="123"/>
      <c r="I70" s="159">
        <f>SUM(I40,I41,I44,I47,I52,I56)</f>
        <v>38.407499999999999</v>
      </c>
      <c r="J70" s="159">
        <f>SUM(J40,J41,J44,J47,J52,J56)</f>
        <v>14.225000000000001</v>
      </c>
      <c r="K70" s="169"/>
      <c r="L70" s="11"/>
      <c r="M70" s="11"/>
      <c r="N70" s="11"/>
      <c r="O70" s="11"/>
      <c r="P70" s="11"/>
      <c r="Q70" s="11"/>
      <c r="R70" s="11"/>
      <c r="S70" s="11"/>
      <c r="T70" s="11"/>
      <c r="U70" s="11"/>
      <c r="V70" s="11"/>
      <c r="W70" s="11"/>
      <c r="X70" s="11"/>
      <c r="Y70" s="11"/>
      <c r="Z70" s="11"/>
    </row>
    <row r="71" spans="1:26">
      <c r="A71" s="11"/>
      <c r="B71" s="115"/>
      <c r="C71" s="115" t="s">
        <v>129</v>
      </c>
      <c r="D71" s="115"/>
      <c r="E71" s="123"/>
      <c r="F71" s="123"/>
      <c r="G71" s="123"/>
      <c r="H71" s="123"/>
      <c r="I71" s="159">
        <f>SUM(I46,I53,I57)</f>
        <v>4.7925000000000004</v>
      </c>
      <c r="J71" s="159">
        <f>SUM(J46,J53,J57)</f>
        <v>1.7750000000000001</v>
      </c>
      <c r="K71" s="169"/>
      <c r="L71" s="11"/>
      <c r="M71" s="11"/>
      <c r="N71" s="11"/>
      <c r="O71" s="11"/>
      <c r="P71" s="11"/>
      <c r="Q71" s="11"/>
      <c r="R71" s="11"/>
      <c r="S71" s="11"/>
      <c r="T71" s="11"/>
      <c r="U71" s="11"/>
      <c r="V71" s="11"/>
      <c r="W71" s="11"/>
      <c r="X71" s="11"/>
      <c r="Y71" s="11"/>
      <c r="Z71" s="11"/>
    </row>
    <row r="72" spans="1:26">
      <c r="A72" s="11"/>
      <c r="B72" s="115"/>
      <c r="C72" s="115" t="s">
        <v>155</v>
      </c>
      <c r="D72" s="115"/>
      <c r="E72" s="123"/>
      <c r="F72" s="123"/>
      <c r="G72" s="123"/>
      <c r="H72" s="123"/>
      <c r="I72" s="159">
        <f>SUM(I58,I54)</f>
        <v>1.0125000000000002</v>
      </c>
      <c r="J72" s="159">
        <f>SUM(J58,J54)</f>
        <v>0.37500000000000006</v>
      </c>
      <c r="K72" s="169"/>
      <c r="L72" s="11"/>
      <c r="M72" s="11"/>
      <c r="N72" s="11"/>
      <c r="O72" s="11"/>
      <c r="P72" s="11"/>
      <c r="Q72" s="11"/>
      <c r="R72" s="11"/>
      <c r="S72" s="11"/>
      <c r="T72" s="11"/>
      <c r="U72" s="11"/>
      <c r="V72" s="11"/>
      <c r="W72" s="11"/>
      <c r="X72" s="11"/>
      <c r="Y72" s="11"/>
      <c r="Z72" s="11"/>
    </row>
    <row r="73" spans="1:26">
      <c r="A73" s="11"/>
      <c r="B73" s="115"/>
      <c r="C73" s="115" t="s">
        <v>136</v>
      </c>
      <c r="D73" s="115"/>
      <c r="E73" s="115"/>
      <c r="F73" s="115"/>
      <c r="G73" s="115"/>
      <c r="H73" s="115"/>
      <c r="I73" s="159">
        <f>I45</f>
        <v>1.6875</v>
      </c>
      <c r="J73" s="159">
        <f>J45</f>
        <v>0.625</v>
      </c>
      <c r="K73" s="169"/>
      <c r="L73" s="11"/>
      <c r="M73" s="11"/>
      <c r="N73" s="11"/>
      <c r="O73" s="11"/>
      <c r="P73" s="11"/>
      <c r="Q73" s="11"/>
      <c r="R73" s="11"/>
      <c r="S73" s="11"/>
      <c r="T73" s="11"/>
      <c r="U73" s="11"/>
      <c r="V73" s="11"/>
      <c r="W73" s="11"/>
      <c r="X73" s="11"/>
      <c r="Y73" s="11"/>
      <c r="Z73" s="11"/>
    </row>
    <row r="74" spans="1:26">
      <c r="A74" s="11"/>
      <c r="B74" s="115"/>
      <c r="C74" s="115" t="s">
        <v>156</v>
      </c>
      <c r="D74" s="115"/>
      <c r="E74" s="115"/>
      <c r="F74" s="115"/>
      <c r="G74" s="115"/>
      <c r="H74" s="115"/>
      <c r="I74" s="159">
        <f>SUM(I70:I73)</f>
        <v>45.900000000000006</v>
      </c>
      <c r="J74" s="166">
        <f>SUM(J70:J73)</f>
        <v>17</v>
      </c>
      <c r="K74" s="169"/>
      <c r="L74" s="11"/>
      <c r="M74" s="11"/>
      <c r="N74" s="11"/>
      <c r="O74" s="11"/>
      <c r="P74" s="11"/>
      <c r="Q74" s="11"/>
      <c r="R74" s="11"/>
      <c r="S74" s="11"/>
      <c r="T74" s="11"/>
      <c r="U74" s="11"/>
      <c r="V74" s="11"/>
      <c r="W74" s="11"/>
      <c r="X74" s="11"/>
      <c r="Y74" s="11"/>
      <c r="Z74" s="11"/>
    </row>
    <row r="75" spans="1:26">
      <c r="A75" s="11"/>
      <c r="B75" s="115"/>
      <c r="C75" s="115"/>
      <c r="D75" s="115"/>
      <c r="E75" s="123"/>
      <c r="F75" s="123"/>
      <c r="G75" s="123"/>
      <c r="H75" s="123"/>
      <c r="I75" s="159"/>
      <c r="J75" s="166"/>
      <c r="K75" s="169"/>
      <c r="L75" s="11"/>
      <c r="M75" s="11"/>
      <c r="N75" s="11"/>
      <c r="O75" s="11"/>
      <c r="P75" s="11"/>
      <c r="Q75" s="11"/>
      <c r="R75" s="11"/>
      <c r="S75" s="11"/>
      <c r="T75" s="11"/>
      <c r="U75" s="11"/>
      <c r="V75" s="11"/>
      <c r="W75" s="11"/>
      <c r="X75" s="11"/>
      <c r="Y75" s="11"/>
      <c r="Z75" s="11"/>
    </row>
    <row r="76" spans="1:26">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c r="A77" s="11"/>
      <c r="B77" s="471" t="s">
        <v>157</v>
      </c>
      <c r="C77" s="472"/>
      <c r="D77" s="472"/>
      <c r="E77" s="472"/>
      <c r="F77" s="472"/>
      <c r="G77" s="472"/>
      <c r="H77" s="472"/>
      <c r="I77" s="473"/>
      <c r="J77" s="11"/>
      <c r="K77" s="11" t="s">
        <v>158</v>
      </c>
      <c r="L77" s="11">
        <v>36.6</v>
      </c>
      <c r="M77" s="11">
        <v>302</v>
      </c>
      <c r="N77" s="11"/>
      <c r="O77" s="11">
        <v>12.7</v>
      </c>
      <c r="P77" s="11"/>
      <c r="Q77" s="11"/>
      <c r="R77" s="11"/>
      <c r="S77" s="11"/>
      <c r="T77" s="11"/>
      <c r="U77" s="11"/>
      <c r="V77" s="11"/>
      <c r="W77" s="11"/>
      <c r="X77" s="11"/>
      <c r="Y77" s="11"/>
      <c r="Z77" s="11"/>
    </row>
    <row r="78" spans="1:26" ht="51">
      <c r="A78" s="11"/>
      <c r="B78" s="457" t="s">
        <v>159</v>
      </c>
      <c r="C78" s="458"/>
      <c r="D78" s="459"/>
      <c r="E78" s="171" t="s">
        <v>160</v>
      </c>
      <c r="F78" s="171" t="s">
        <v>161</v>
      </c>
      <c r="G78" s="171" t="s">
        <v>162</v>
      </c>
      <c r="H78" s="171" t="s">
        <v>163</v>
      </c>
      <c r="I78" s="171" t="s">
        <v>164</v>
      </c>
      <c r="J78" s="172"/>
      <c r="K78" s="139" t="s">
        <v>165</v>
      </c>
      <c r="L78" s="139" t="s">
        <v>166</v>
      </c>
      <c r="M78" s="139" t="s">
        <v>167</v>
      </c>
      <c r="N78" s="139"/>
      <c r="O78" s="139" t="s">
        <v>168</v>
      </c>
      <c r="P78" s="11"/>
      <c r="Q78" s="11"/>
      <c r="R78" s="11"/>
      <c r="S78" s="11"/>
      <c r="T78" s="11"/>
      <c r="U78" s="11"/>
      <c r="V78" s="11"/>
      <c r="W78" s="11"/>
      <c r="X78" s="11"/>
      <c r="Y78" s="11"/>
      <c r="Z78" s="11"/>
    </row>
    <row r="79" spans="1:26">
      <c r="A79" s="11"/>
      <c r="B79" s="11" t="s">
        <v>169</v>
      </c>
      <c r="C79" s="11"/>
      <c r="D79" s="11"/>
      <c r="E79" s="11"/>
      <c r="F79" s="11"/>
      <c r="G79" s="11"/>
      <c r="H79" s="11"/>
      <c r="I79" s="11"/>
      <c r="J79" s="11"/>
      <c r="K79" s="11" t="s">
        <v>170</v>
      </c>
      <c r="L79" s="11">
        <v>950</v>
      </c>
      <c r="M79" s="11"/>
      <c r="N79" s="11"/>
      <c r="O79" s="11"/>
      <c r="P79" s="11"/>
      <c r="Q79" s="11"/>
      <c r="R79" s="11"/>
      <c r="S79" s="11"/>
      <c r="T79" s="11"/>
      <c r="U79" s="11"/>
      <c r="V79" s="11"/>
      <c r="W79" s="11"/>
      <c r="X79" s="11"/>
      <c r="Y79" s="11"/>
      <c r="Z79" s="11"/>
    </row>
    <row r="80" spans="1:26">
      <c r="A80" s="11"/>
      <c r="B80" s="11"/>
      <c r="C80" s="11" t="s">
        <v>171</v>
      </c>
      <c r="D80" s="11"/>
      <c r="E80" s="170">
        <v>0.4</v>
      </c>
      <c r="F80" s="166">
        <f>SUM([6]Pre2010!$H$84:$H$87,[6]Pre2010!$H$91:$H$93)</f>
        <v>655.49526734714595</v>
      </c>
      <c r="G80" s="42">
        <f>F80*1000000*E80/1000000</f>
        <v>262.19810693885842</v>
      </c>
      <c r="H80" s="11">
        <v>4380</v>
      </c>
      <c r="I80" s="166">
        <f>G80*H80/8760</f>
        <v>131.09905346942921</v>
      </c>
      <c r="J80" s="11"/>
      <c r="K80" s="11" t="s">
        <v>172</v>
      </c>
      <c r="L80" s="166">
        <f>L79*1000000000/8760/1000000</f>
        <v>108.4474885844749</v>
      </c>
      <c r="M80" s="166">
        <f>L80*M77/L77</f>
        <v>894.83993312872724</v>
      </c>
      <c r="N80" s="166"/>
      <c r="O80" s="166">
        <f>L80*O77/L77</f>
        <v>37.630685929585546</v>
      </c>
      <c r="P80" s="11"/>
      <c r="Q80" s="11"/>
      <c r="R80" s="11"/>
      <c r="S80" s="11"/>
      <c r="T80" s="11"/>
      <c r="U80" s="11"/>
      <c r="V80" s="11"/>
      <c r="W80" s="11"/>
      <c r="X80" s="11"/>
      <c r="Y80" s="11"/>
      <c r="Z80" s="11"/>
    </row>
    <row r="81" spans="1:26">
      <c r="A81" s="11"/>
      <c r="B81" s="11"/>
      <c r="C81" s="11" t="s">
        <v>173</v>
      </c>
      <c r="D81" s="11"/>
      <c r="E81" s="11">
        <v>0.16</v>
      </c>
      <c r="F81" s="166">
        <f>SUM([6]Pre2010!$H$81:$H$83,[6]Pre2010!$H$88:$H$89,[6]Pre2010!$H$94:$H$98)</f>
        <v>1929.1281868746205</v>
      </c>
      <c r="G81" s="42">
        <f>F81*1000000*E81/1000000</f>
        <v>308.66050989993931</v>
      </c>
      <c r="H81" s="11">
        <v>4380</v>
      </c>
      <c r="I81" s="166">
        <f>G81*H81/8760</f>
        <v>154.33025494996966</v>
      </c>
      <c r="J81" s="11"/>
      <c r="K81" s="11"/>
      <c r="L81" s="11"/>
      <c r="M81" s="11"/>
      <c r="N81" s="11"/>
      <c r="O81" s="11"/>
      <c r="P81" s="11"/>
      <c r="Q81" s="11"/>
      <c r="R81" s="11"/>
      <c r="S81" s="11"/>
      <c r="T81" s="11"/>
      <c r="U81" s="11"/>
      <c r="V81" s="11"/>
      <c r="W81" s="11"/>
      <c r="X81" s="11"/>
      <c r="Y81" s="11"/>
      <c r="Z81" s="11"/>
    </row>
    <row r="82" spans="1:26">
      <c r="A82" s="11"/>
      <c r="B82" s="11"/>
      <c r="C82" s="11" t="s">
        <v>174</v>
      </c>
      <c r="D82" s="11"/>
      <c r="E82" s="11">
        <v>0.05</v>
      </c>
      <c r="F82" s="166">
        <f>SUM([6]Pre2010!$H$90)</f>
        <v>363.46665980805562</v>
      </c>
      <c r="G82" s="42">
        <f>F82*1000000*E82/1000000</f>
        <v>18.173332990402784</v>
      </c>
      <c r="H82" s="11">
        <v>4380</v>
      </c>
      <c r="I82" s="166">
        <f>G82*H82/8760</f>
        <v>9.086666495201392</v>
      </c>
      <c r="J82" s="11"/>
      <c r="K82" s="11"/>
      <c r="L82" s="11"/>
      <c r="M82" s="11"/>
      <c r="N82" s="11"/>
      <c r="O82" s="11"/>
      <c r="P82" s="11"/>
      <c r="Q82" s="11"/>
      <c r="R82" s="11"/>
      <c r="S82" s="11"/>
      <c r="T82" s="11"/>
      <c r="U82" s="11"/>
      <c r="V82" s="11"/>
      <c r="W82" s="11"/>
      <c r="X82" s="11"/>
      <c r="Y82" s="11"/>
      <c r="Z82" s="11"/>
    </row>
    <row r="83" spans="1:26">
      <c r="A83" s="11"/>
      <c r="B83" s="11"/>
      <c r="C83" s="11"/>
      <c r="D83" s="11"/>
      <c r="E83" s="11"/>
      <c r="F83" s="11"/>
      <c r="G83" s="11"/>
      <c r="H83" s="11"/>
      <c r="I83" s="166">
        <f>SUM(I80:I82)</f>
        <v>294.51597491460024</v>
      </c>
      <c r="J83" s="11"/>
      <c r="K83" s="11"/>
      <c r="L83" s="11"/>
      <c r="M83" s="11"/>
      <c r="N83" s="11"/>
      <c r="O83" s="11"/>
      <c r="P83" s="11"/>
      <c r="Q83" s="11"/>
      <c r="R83" s="11"/>
      <c r="S83" s="11"/>
      <c r="T83" s="11"/>
      <c r="U83" s="11"/>
      <c r="V83" s="11"/>
      <c r="W83" s="11"/>
      <c r="X83" s="11"/>
      <c r="Y83" s="11"/>
      <c r="Z83" s="11"/>
    </row>
    <row r="84" spans="1:26">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sheetData>
  <mergeCells count="18">
    <mergeCell ref="B78:D78"/>
    <mergeCell ref="V6:V10"/>
    <mergeCell ref="V11:V15"/>
    <mergeCell ref="K37:M37"/>
    <mergeCell ref="P37:X37"/>
    <mergeCell ref="P38:Q38"/>
    <mergeCell ref="S38:X38"/>
    <mergeCell ref="B77:I77"/>
    <mergeCell ref="V20:V24"/>
    <mergeCell ref="V25:V29"/>
    <mergeCell ref="X20:X24"/>
    <mergeCell ref="X25:X29"/>
    <mergeCell ref="AO8:AO14"/>
    <mergeCell ref="AO15:AO18"/>
    <mergeCell ref="AI12:AI14"/>
    <mergeCell ref="AO19:AO20"/>
    <mergeCell ref="AO21:AO22"/>
    <mergeCell ref="AI8:AI11"/>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sheetPr codeName="Sheet10"/>
  <dimension ref="A12:Z68"/>
  <sheetViews>
    <sheetView workbookViewId="0">
      <selection activeCell="G67" sqref="G67"/>
    </sheetView>
  </sheetViews>
  <sheetFormatPr defaultRowHeight="12.75"/>
  <cols>
    <col min="2" max="2" width="33.140625" customWidth="1"/>
    <col min="5" max="5" width="9.7109375" customWidth="1"/>
    <col min="26" max="26" width="11.140625" customWidth="1"/>
  </cols>
  <sheetData>
    <row r="12" spans="1:1">
      <c r="A12">
        <v>230</v>
      </c>
    </row>
    <row r="35" spans="2:26">
      <c r="X35" t="s">
        <v>507</v>
      </c>
      <c r="Y35" t="s">
        <v>508</v>
      </c>
      <c r="Z35" t="s">
        <v>868</v>
      </c>
    </row>
    <row r="36" spans="2:26">
      <c r="X36">
        <v>92</v>
      </c>
      <c r="Y36">
        <v>42</v>
      </c>
      <c r="Z36" s="225">
        <f>X36*Y36/1000</f>
        <v>3.8639999999999999</v>
      </c>
    </row>
    <row r="46" spans="2:26">
      <c r="B46" s="474" t="s">
        <v>926</v>
      </c>
      <c r="C46" s="475"/>
      <c r="D46" s="475"/>
      <c r="E46" s="475"/>
      <c r="F46" s="475"/>
      <c r="G46" s="476"/>
    </row>
    <row r="47" spans="2:26" ht="15" customHeight="1" thickBot="1">
      <c r="B47" s="345" t="s">
        <v>927</v>
      </c>
      <c r="C47" s="345"/>
      <c r="D47" s="477" t="s">
        <v>928</v>
      </c>
      <c r="E47" s="478"/>
      <c r="F47" s="478"/>
      <c r="G47" s="479"/>
    </row>
    <row r="48" spans="2:26" ht="15" customHeight="1" thickBot="1">
      <c r="B48" s="346"/>
      <c r="C48" s="346" t="s">
        <v>929</v>
      </c>
      <c r="D48" s="347">
        <v>2014</v>
      </c>
      <c r="E48" s="347">
        <v>2015</v>
      </c>
      <c r="F48" s="347">
        <v>2016</v>
      </c>
      <c r="G48" s="347">
        <v>2017</v>
      </c>
    </row>
    <row r="49" spans="2:7" ht="15" customHeight="1" thickBot="1">
      <c r="B49" s="348" t="s">
        <v>930</v>
      </c>
      <c r="C49" s="349" t="s">
        <v>155</v>
      </c>
      <c r="D49" s="349">
        <v>76</v>
      </c>
      <c r="E49" s="349">
        <v>81</v>
      </c>
      <c r="F49" s="349">
        <v>86</v>
      </c>
      <c r="G49" s="349">
        <v>90</v>
      </c>
    </row>
    <row r="50" spans="2:7" ht="15" customHeight="1" thickBot="1">
      <c r="B50" s="350" t="s">
        <v>931</v>
      </c>
      <c r="C50" s="351" t="s">
        <v>932</v>
      </c>
      <c r="D50" s="351">
        <v>67</v>
      </c>
      <c r="E50" s="351">
        <v>68</v>
      </c>
      <c r="F50" s="351">
        <v>69</v>
      </c>
      <c r="G50" s="351">
        <v>70</v>
      </c>
    </row>
    <row r="51" spans="2:7" ht="15" customHeight="1" thickBot="1">
      <c r="B51" s="348" t="s">
        <v>933</v>
      </c>
      <c r="C51" s="349" t="s">
        <v>155</v>
      </c>
      <c r="D51" s="349">
        <v>66</v>
      </c>
      <c r="E51" s="349">
        <v>73</v>
      </c>
      <c r="F51" s="349">
        <v>80</v>
      </c>
      <c r="G51" s="349">
        <v>87</v>
      </c>
    </row>
    <row r="52" spans="2:7" ht="15" customHeight="1" thickBot="1">
      <c r="B52" s="350" t="s">
        <v>931</v>
      </c>
      <c r="C52" s="351" t="s">
        <v>932</v>
      </c>
      <c r="D52" s="351">
        <v>60</v>
      </c>
      <c r="E52" s="351">
        <v>63</v>
      </c>
      <c r="F52" s="351">
        <v>65</v>
      </c>
      <c r="G52" s="351">
        <v>68</v>
      </c>
    </row>
    <row r="53" spans="2:7" ht="15" customHeight="1" thickBot="1">
      <c r="B53" s="348" t="s">
        <v>934</v>
      </c>
      <c r="C53" s="349" t="s">
        <v>155</v>
      </c>
      <c r="D53" s="349">
        <v>67</v>
      </c>
      <c r="E53" s="349">
        <v>72</v>
      </c>
      <c r="F53" s="349">
        <v>76</v>
      </c>
      <c r="G53" s="349">
        <v>80</v>
      </c>
    </row>
    <row r="54" spans="2:7" ht="15" customHeight="1" thickBot="1">
      <c r="B54" s="350" t="s">
        <v>931</v>
      </c>
      <c r="C54" s="351" t="s">
        <v>932</v>
      </c>
      <c r="D54" s="351">
        <v>64</v>
      </c>
      <c r="E54" s="351">
        <v>69</v>
      </c>
      <c r="F54" s="351">
        <v>73</v>
      </c>
      <c r="G54" s="351">
        <v>77</v>
      </c>
    </row>
    <row r="55" spans="2:7" ht="15" customHeight="1" thickBot="1">
      <c r="B55" s="348" t="s">
        <v>935</v>
      </c>
      <c r="C55" s="349" t="s">
        <v>155</v>
      </c>
      <c r="D55" s="349">
        <v>62</v>
      </c>
      <c r="E55" s="349">
        <v>66</v>
      </c>
      <c r="F55" s="349">
        <v>69</v>
      </c>
      <c r="G55" s="349">
        <v>73</v>
      </c>
    </row>
    <row r="56" spans="2:7" ht="15" customHeight="1" thickBot="1">
      <c r="B56" s="350" t="s">
        <v>931</v>
      </c>
      <c r="C56" s="351" t="s">
        <v>932</v>
      </c>
      <c r="D56" s="351">
        <v>62</v>
      </c>
      <c r="E56" s="351">
        <v>67</v>
      </c>
      <c r="F56" s="351">
        <v>72</v>
      </c>
      <c r="G56" s="351">
        <v>77</v>
      </c>
    </row>
    <row r="57" spans="2:7" ht="15" customHeight="1" thickBot="1">
      <c r="B57" s="348" t="s">
        <v>936</v>
      </c>
      <c r="C57" s="349" t="s">
        <v>155</v>
      </c>
      <c r="D57" s="349">
        <v>62</v>
      </c>
      <c r="E57" s="349">
        <v>66</v>
      </c>
      <c r="F57" s="349">
        <v>71</v>
      </c>
      <c r="G57" s="349">
        <v>75</v>
      </c>
    </row>
    <row r="58" spans="2:7" ht="15" customHeight="1" thickBot="1">
      <c r="B58" s="350" t="s">
        <v>937</v>
      </c>
      <c r="C58" s="351" t="s">
        <v>932</v>
      </c>
      <c r="D58" s="351">
        <v>55</v>
      </c>
      <c r="E58" s="351">
        <v>55</v>
      </c>
      <c r="F58" s="351">
        <v>55</v>
      </c>
      <c r="G58" s="351">
        <v>55</v>
      </c>
    </row>
    <row r="59" spans="2:7" ht="15" customHeight="1" thickBot="1">
      <c r="B59" s="348" t="s">
        <v>936</v>
      </c>
      <c r="C59" s="349" t="s">
        <v>155</v>
      </c>
      <c r="D59" s="349">
        <v>62</v>
      </c>
      <c r="E59" s="349">
        <v>66</v>
      </c>
      <c r="F59" s="349">
        <v>71</v>
      </c>
      <c r="G59" s="349">
        <v>75</v>
      </c>
    </row>
    <row r="60" spans="2:7" ht="15" customHeight="1" thickBot="1">
      <c r="B60" s="350" t="s">
        <v>938</v>
      </c>
      <c r="C60" s="351" t="s">
        <v>932</v>
      </c>
      <c r="D60" s="351">
        <v>64</v>
      </c>
      <c r="E60" s="351">
        <v>66</v>
      </c>
      <c r="F60" s="351">
        <v>69</v>
      </c>
      <c r="G60" s="351">
        <v>71</v>
      </c>
    </row>
    <row r="61" spans="2:7" ht="15" customHeight="1" thickBot="1">
      <c r="B61" s="348" t="s">
        <v>939</v>
      </c>
      <c r="C61" s="349" t="s">
        <v>155</v>
      </c>
      <c r="D61" s="349">
        <v>95</v>
      </c>
      <c r="E61" s="349">
        <v>103</v>
      </c>
      <c r="F61" s="349">
        <v>110</v>
      </c>
      <c r="G61" s="349">
        <v>117</v>
      </c>
    </row>
    <row r="62" spans="2:7" ht="15" customHeight="1" thickBot="1">
      <c r="B62" s="350" t="s">
        <v>937</v>
      </c>
      <c r="C62" s="351" t="s">
        <v>940</v>
      </c>
      <c r="D62" s="351" t="s">
        <v>941</v>
      </c>
      <c r="E62" s="351" t="s">
        <v>941</v>
      </c>
      <c r="F62" s="351" t="s">
        <v>941</v>
      </c>
      <c r="G62" s="351" t="s">
        <v>941</v>
      </c>
    </row>
    <row r="63" spans="2:7" ht="15" customHeight="1" thickBot="1">
      <c r="B63" s="348" t="s">
        <v>942</v>
      </c>
      <c r="C63" s="349" t="s">
        <v>155</v>
      </c>
      <c r="D63" s="349">
        <v>95</v>
      </c>
      <c r="E63" s="349">
        <v>101</v>
      </c>
      <c r="F63" s="349">
        <v>106</v>
      </c>
      <c r="G63" s="349">
        <v>111</v>
      </c>
    </row>
    <row r="64" spans="2:7" ht="15" customHeight="1" thickBot="1">
      <c r="B64" s="350" t="s">
        <v>943</v>
      </c>
      <c r="C64" s="351" t="s">
        <v>940</v>
      </c>
      <c r="D64" s="351">
        <v>93</v>
      </c>
      <c r="E64" s="351">
        <v>98</v>
      </c>
      <c r="F64" s="351">
        <v>103</v>
      </c>
      <c r="G64" s="351">
        <v>107</v>
      </c>
    </row>
    <row r="65" spans="2:7" ht="15" customHeight="1" thickBot="1">
      <c r="B65" s="348" t="s">
        <v>944</v>
      </c>
      <c r="C65" s="349" t="s">
        <v>155</v>
      </c>
      <c r="D65" s="349">
        <v>86</v>
      </c>
      <c r="E65" s="349">
        <v>91</v>
      </c>
      <c r="F65" s="349">
        <v>95</v>
      </c>
      <c r="G65" s="349">
        <v>99</v>
      </c>
    </row>
    <row r="66" spans="2:7" ht="15" customHeight="1" thickBot="1">
      <c r="B66" s="350" t="s">
        <v>937</v>
      </c>
      <c r="C66" s="351" t="s">
        <v>940</v>
      </c>
      <c r="D66" s="351">
        <v>85</v>
      </c>
      <c r="E66" s="351">
        <v>90</v>
      </c>
      <c r="F66" s="351">
        <v>94</v>
      </c>
      <c r="G66" s="351">
        <v>98</v>
      </c>
    </row>
    <row r="67" spans="2:7" ht="15" customHeight="1" thickBot="1">
      <c r="B67" s="348" t="s">
        <v>945</v>
      </c>
      <c r="C67" s="349" t="s">
        <v>155</v>
      </c>
      <c r="D67" s="349">
        <v>83</v>
      </c>
      <c r="E67" s="349">
        <v>88</v>
      </c>
      <c r="F67" s="349">
        <v>92</v>
      </c>
      <c r="G67" s="349">
        <v>96</v>
      </c>
    </row>
    <row r="68" spans="2:7" ht="15" customHeight="1" thickBot="1">
      <c r="B68" s="350" t="s">
        <v>937</v>
      </c>
      <c r="C68" s="351" t="s">
        <v>940</v>
      </c>
      <c r="D68" s="351">
        <v>86</v>
      </c>
      <c r="E68" s="351">
        <v>92</v>
      </c>
      <c r="F68" s="351">
        <v>97</v>
      </c>
      <c r="G68" s="351">
        <v>102</v>
      </c>
    </row>
  </sheetData>
  <mergeCells count="2">
    <mergeCell ref="B46:G46"/>
    <mergeCell ref="D47:G4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sheetPr codeName="Sheet14"/>
  <dimension ref="C4:U20"/>
  <sheetViews>
    <sheetView topLeftCell="A7" workbookViewId="0">
      <selection activeCell="E13" sqref="E13"/>
    </sheetView>
  </sheetViews>
  <sheetFormatPr defaultRowHeight="12.75"/>
  <cols>
    <col min="1" max="2" width="9.140625" style="34"/>
    <col min="3" max="3" width="29.7109375" style="34" customWidth="1"/>
    <col min="4" max="4" width="18.85546875" style="34" customWidth="1"/>
    <col min="5" max="14" width="9.140625" style="34"/>
    <col min="15" max="15" width="19.28515625" style="34" customWidth="1"/>
    <col min="16" max="16" width="9.140625" style="34"/>
    <col min="17" max="17" width="14" style="34" bestFit="1" customWidth="1"/>
    <col min="18" max="18" width="10.7109375" style="34" customWidth="1"/>
    <col min="19" max="19" width="11.140625" style="34" customWidth="1"/>
    <col min="20" max="20" width="11.42578125" style="34" customWidth="1"/>
    <col min="21" max="21" width="11.7109375" style="34" customWidth="1"/>
    <col min="22" max="16384" width="9.140625" style="34"/>
  </cols>
  <sheetData>
    <row r="4" spans="3:21" ht="15">
      <c r="D4" s="113"/>
      <c r="E4" s="111"/>
      <c r="F4" s="111"/>
    </row>
    <row r="5" spans="3:21">
      <c r="D5" s="14"/>
      <c r="E5" s="111"/>
      <c r="F5" s="111"/>
      <c r="S5" s="62"/>
      <c r="T5" s="62"/>
      <c r="U5" s="62"/>
    </row>
    <row r="6" spans="3:21" ht="15">
      <c r="D6" s="113"/>
      <c r="E6" s="113"/>
      <c r="F6" s="113"/>
      <c r="S6" s="77"/>
      <c r="T6" s="77"/>
      <c r="U6" s="77"/>
    </row>
    <row r="7" spans="3:21" ht="15">
      <c r="C7" s="11"/>
      <c r="D7" s="14"/>
      <c r="E7" s="113"/>
      <c r="F7" s="111"/>
      <c r="S7" s="85"/>
      <c r="T7" s="62"/>
      <c r="U7" s="177"/>
    </row>
    <row r="8" spans="3:21">
      <c r="C8" s="11"/>
      <c r="D8" s="11"/>
      <c r="E8" s="111"/>
      <c r="F8" s="111"/>
      <c r="O8" s="62"/>
      <c r="P8" s="62"/>
      <c r="Q8" s="83"/>
      <c r="R8" s="62"/>
      <c r="S8" s="85"/>
      <c r="T8" s="62"/>
      <c r="U8" s="177"/>
    </row>
    <row r="9" spans="3:21">
      <c r="C9" s="11"/>
      <c r="D9" s="11"/>
      <c r="E9" s="111"/>
      <c r="F9" s="111"/>
      <c r="O9" s="62"/>
      <c r="P9" s="62"/>
      <c r="Q9" s="83"/>
      <c r="R9" s="62"/>
      <c r="S9" s="62"/>
      <c r="T9" s="62"/>
      <c r="U9" s="62"/>
    </row>
    <row r="10" spans="3:21">
      <c r="C10" s="172" t="s">
        <v>867</v>
      </c>
      <c r="D10" s="172"/>
      <c r="E10" s="276"/>
      <c r="F10" s="276"/>
      <c r="G10" s="277"/>
      <c r="H10" s="277"/>
      <c r="I10" s="277"/>
      <c r="O10" s="62"/>
      <c r="P10" s="62"/>
      <c r="Q10" s="62"/>
      <c r="R10" s="62"/>
      <c r="S10" s="62"/>
      <c r="T10" s="62"/>
      <c r="U10" s="62"/>
    </row>
    <row r="11" spans="3:21" ht="47.25">
      <c r="C11" s="278"/>
      <c r="D11" s="279" t="s">
        <v>494</v>
      </c>
      <c r="E11" s="279" t="s">
        <v>495</v>
      </c>
      <c r="F11" s="278"/>
      <c r="G11" s="278"/>
      <c r="H11" s="278"/>
      <c r="I11" s="280"/>
      <c r="O11" s="62"/>
      <c r="P11" s="62"/>
      <c r="Q11" s="62"/>
      <c r="R11" s="62"/>
      <c r="S11" s="62"/>
      <c r="T11" s="62"/>
      <c r="U11" s="62"/>
    </row>
    <row r="12" spans="3:21" ht="15.75">
      <c r="C12" s="214" t="s">
        <v>496</v>
      </c>
      <c r="D12" s="219">
        <f>ROUND(AVERAGE(D13:D15),0)</f>
        <v>118</v>
      </c>
      <c r="E12" s="219">
        <f>ROUND(AVERAGE(E13:E15),0)</f>
        <v>56</v>
      </c>
      <c r="F12" s="210"/>
      <c r="G12" s="210"/>
      <c r="H12" s="210"/>
      <c r="I12" s="222"/>
      <c r="O12" s="62"/>
      <c r="P12" s="62"/>
      <c r="Q12" s="62"/>
      <c r="R12" s="62"/>
      <c r="S12" s="62"/>
      <c r="T12" s="62"/>
      <c r="U12" s="62"/>
    </row>
    <row r="13" spans="3:21" ht="15.75">
      <c r="C13" s="214" t="s">
        <v>497</v>
      </c>
      <c r="D13" s="219">
        <v>144.15</v>
      </c>
      <c r="E13" s="219">
        <f>D13*E14/D14</f>
        <v>63.50896402877698</v>
      </c>
      <c r="F13" s="210"/>
      <c r="G13" s="210"/>
      <c r="H13" s="210"/>
      <c r="I13" s="222"/>
      <c r="O13" s="77"/>
      <c r="P13" s="77"/>
      <c r="Q13" s="77"/>
      <c r="R13" s="77"/>
      <c r="S13" s="77"/>
      <c r="T13" s="62"/>
      <c r="U13" s="62"/>
    </row>
    <row r="14" spans="3:21" ht="15.75">
      <c r="C14" s="214" t="s">
        <v>498</v>
      </c>
      <c r="D14" s="219">
        <v>104.25</v>
      </c>
      <c r="E14" s="219">
        <v>45.93</v>
      </c>
      <c r="F14" s="210"/>
      <c r="G14" s="210"/>
      <c r="H14" s="210"/>
      <c r="I14" s="222"/>
      <c r="O14" s="62"/>
      <c r="P14" s="62"/>
      <c r="Q14" s="83"/>
      <c r="R14" s="62"/>
      <c r="S14" s="83"/>
      <c r="T14" s="62"/>
      <c r="U14" s="62"/>
    </row>
    <row r="15" spans="3:21" ht="15.75">
      <c r="C15" s="214" t="s">
        <v>499</v>
      </c>
      <c r="D15" s="219">
        <v>105.43</v>
      </c>
      <c r="E15" s="219">
        <v>59.94</v>
      </c>
      <c r="F15" s="210"/>
      <c r="G15" s="210"/>
      <c r="H15" s="210"/>
      <c r="I15" s="210"/>
      <c r="O15" s="62"/>
      <c r="P15" s="62"/>
      <c r="Q15" s="62"/>
      <c r="R15" s="62"/>
      <c r="S15" s="62"/>
      <c r="T15" s="62"/>
      <c r="U15" s="62"/>
    </row>
    <row r="16" spans="3:21">
      <c r="O16" s="62"/>
      <c r="P16" s="62"/>
      <c r="Q16" s="62"/>
      <c r="R16" s="62"/>
      <c r="S16" s="62"/>
      <c r="T16" s="62"/>
      <c r="U16" s="62"/>
    </row>
    <row r="18" spans="3:6">
      <c r="C18" s="277" t="s">
        <v>101</v>
      </c>
      <c r="D18" s="277"/>
      <c r="E18" s="277"/>
      <c r="F18" s="277"/>
    </row>
    <row r="19" spans="3:6" ht="25.5">
      <c r="C19" s="139" t="s">
        <v>272</v>
      </c>
      <c r="D19" s="139" t="s">
        <v>273</v>
      </c>
      <c r="E19" s="139" t="s">
        <v>274</v>
      </c>
      <c r="F19" s="139" t="s">
        <v>275</v>
      </c>
    </row>
    <row r="20" spans="3:6">
      <c r="C20" s="34">
        <v>30</v>
      </c>
      <c r="D20" s="34">
        <v>8</v>
      </c>
      <c r="E20" s="34">
        <f>C20/D20</f>
        <v>3.75</v>
      </c>
      <c r="F20" s="51">
        <f>D20/C20</f>
        <v>0.26666666666666666</v>
      </c>
    </row>
  </sheetData>
  <pageMargins left="0.75" right="0.75" top="1" bottom="1" header="0.5" footer="0.5"/>
  <headerFooter alignWithMargins="0"/>
  <legacyDrawing r:id="rId1"/>
  <oleObjects>
    <oleObject progId="Word.Document.8" shapeId="7169" r:id="rId2"/>
  </oleObjects>
</worksheet>
</file>

<file path=xl/worksheets/sheet17.xml><?xml version="1.0" encoding="utf-8"?>
<worksheet xmlns="http://schemas.openxmlformats.org/spreadsheetml/2006/main" xmlns:r="http://schemas.openxmlformats.org/officeDocument/2006/relationships">
  <sheetPr codeName="Sheet15"/>
  <dimension ref="A2:L32"/>
  <sheetViews>
    <sheetView workbookViewId="0">
      <selection activeCell="E8" sqref="E8"/>
    </sheetView>
  </sheetViews>
  <sheetFormatPr defaultRowHeight="12.75"/>
  <cols>
    <col min="1" max="1" width="10.42578125" style="34" customWidth="1"/>
    <col min="2" max="2" width="22.140625" style="34" customWidth="1"/>
    <col min="3" max="3" width="11.28515625" style="34" customWidth="1"/>
    <col min="4" max="4" width="9.140625" style="34"/>
    <col min="5" max="5" width="9" style="34" customWidth="1"/>
    <col min="6" max="16384" width="9.140625" style="34"/>
  </cols>
  <sheetData>
    <row r="2" spans="1:12">
      <c r="C2" s="34">
        <v>4300</v>
      </c>
      <c r="F2" s="34">
        <v>24000</v>
      </c>
      <c r="G2" s="34">
        <v>16000</v>
      </c>
      <c r="H2" s="34">
        <v>9000</v>
      </c>
    </row>
    <row r="4" spans="1:12" ht="51">
      <c r="A4" s="121" t="s">
        <v>276</v>
      </c>
      <c r="B4" s="122" t="s">
        <v>387</v>
      </c>
      <c r="C4" s="121" t="s">
        <v>277</v>
      </c>
      <c r="D4" s="121" t="s">
        <v>278</v>
      </c>
      <c r="E4" s="121" t="s">
        <v>279</v>
      </c>
      <c r="F4" s="121" t="s">
        <v>280</v>
      </c>
      <c r="G4" s="121" t="s">
        <v>281</v>
      </c>
      <c r="H4" s="121" t="s">
        <v>282</v>
      </c>
      <c r="I4" s="121" t="s">
        <v>283</v>
      </c>
      <c r="J4" s="121" t="s">
        <v>284</v>
      </c>
      <c r="K4" s="121" t="s">
        <v>285</v>
      </c>
      <c r="L4" s="121"/>
    </row>
    <row r="5" spans="1:12">
      <c r="A5" s="34" t="s">
        <v>286</v>
      </c>
      <c r="B5" s="34">
        <v>35000</v>
      </c>
      <c r="C5" s="34">
        <v>4300</v>
      </c>
      <c r="D5" s="63">
        <f t="shared" ref="D5:D32" si="0">B5/C5</f>
        <v>8.1395348837209305</v>
      </c>
      <c r="E5" s="53">
        <f t="shared" ref="E5:E32" si="1">ROUND(B5/C5,0)</f>
        <v>8</v>
      </c>
      <c r="F5" s="63">
        <f t="shared" ref="F5:F32" si="2">$F$2/C5</f>
        <v>5.5813953488372094</v>
      </c>
      <c r="G5" s="63">
        <f t="shared" ref="G5:G32" si="3">$G$2/C5</f>
        <v>3.7209302325581395</v>
      </c>
      <c r="H5" s="63">
        <f t="shared" ref="H5:H32" si="4">$H$2/C5</f>
        <v>2.0930232558139537</v>
      </c>
      <c r="I5" s="63">
        <f t="shared" ref="I5:I32" si="5">D5/F5</f>
        <v>1.4583333333333333</v>
      </c>
      <c r="J5" s="63">
        <f t="shared" ref="J5:J32" si="6">D5/G5</f>
        <v>2.1875</v>
      </c>
      <c r="K5" s="63">
        <f t="shared" ref="K5:K32" si="7">D5/H5</f>
        <v>3.8888888888888888</v>
      </c>
    </row>
    <row r="6" spans="1:12">
      <c r="A6" s="34" t="s">
        <v>287</v>
      </c>
      <c r="B6" s="34">
        <v>43000</v>
      </c>
      <c r="C6" s="34">
        <v>4300</v>
      </c>
      <c r="D6" s="63">
        <f t="shared" si="0"/>
        <v>10</v>
      </c>
      <c r="E6" s="34">
        <f t="shared" si="1"/>
        <v>10</v>
      </c>
      <c r="F6" s="63">
        <f t="shared" si="2"/>
        <v>5.5813953488372094</v>
      </c>
      <c r="G6" s="63">
        <f t="shared" si="3"/>
        <v>3.7209302325581395</v>
      </c>
      <c r="H6" s="63">
        <f t="shared" si="4"/>
        <v>2.0930232558139537</v>
      </c>
      <c r="I6" s="63">
        <f t="shared" si="5"/>
        <v>1.7916666666666665</v>
      </c>
      <c r="J6" s="63">
        <f t="shared" si="6"/>
        <v>2.6875</v>
      </c>
      <c r="K6" s="63">
        <f t="shared" si="7"/>
        <v>4.7777777777777777</v>
      </c>
    </row>
    <row r="7" spans="1:12">
      <c r="A7" s="34" t="s">
        <v>288</v>
      </c>
      <c r="B7" s="120">
        <v>50000</v>
      </c>
      <c r="C7" s="34">
        <v>4300</v>
      </c>
      <c r="D7" s="63">
        <f t="shared" si="0"/>
        <v>11.627906976744185</v>
      </c>
      <c r="E7" s="53">
        <f t="shared" si="1"/>
        <v>12</v>
      </c>
      <c r="F7" s="63">
        <f t="shared" si="2"/>
        <v>5.5813953488372094</v>
      </c>
      <c r="G7" s="63">
        <f t="shared" si="3"/>
        <v>3.7209302325581395</v>
      </c>
      <c r="H7" s="63">
        <f t="shared" si="4"/>
        <v>2.0930232558139537</v>
      </c>
      <c r="I7" s="63">
        <f t="shared" si="5"/>
        <v>2.083333333333333</v>
      </c>
      <c r="J7" s="63">
        <f t="shared" si="6"/>
        <v>3.125</v>
      </c>
      <c r="K7" s="63">
        <f t="shared" si="7"/>
        <v>5.5555555555555545</v>
      </c>
    </row>
    <row r="8" spans="1:12">
      <c r="A8" s="34" t="s">
        <v>411</v>
      </c>
      <c r="B8" s="34">
        <v>70000</v>
      </c>
      <c r="C8" s="34">
        <v>4300</v>
      </c>
      <c r="D8" s="63">
        <f t="shared" si="0"/>
        <v>16.279069767441861</v>
      </c>
      <c r="E8" s="53">
        <f t="shared" si="1"/>
        <v>16</v>
      </c>
      <c r="F8" s="63">
        <f t="shared" si="2"/>
        <v>5.5813953488372094</v>
      </c>
      <c r="G8" s="63">
        <f t="shared" si="3"/>
        <v>3.7209302325581395</v>
      </c>
      <c r="H8" s="63">
        <f t="shared" si="4"/>
        <v>2.0930232558139537</v>
      </c>
      <c r="I8" s="63">
        <f t="shared" si="5"/>
        <v>2.9166666666666665</v>
      </c>
      <c r="J8" s="63">
        <f t="shared" si="6"/>
        <v>4.375</v>
      </c>
      <c r="K8" s="63">
        <f t="shared" si="7"/>
        <v>7.7777777777777777</v>
      </c>
    </row>
    <row r="9" spans="1:12">
      <c r="A9" s="34" t="s">
        <v>289</v>
      </c>
      <c r="B9" s="34">
        <v>100000</v>
      </c>
      <c r="C9" s="34">
        <v>4300</v>
      </c>
      <c r="D9" s="63">
        <f t="shared" si="0"/>
        <v>23.255813953488371</v>
      </c>
      <c r="E9" s="34">
        <f t="shared" si="1"/>
        <v>23</v>
      </c>
      <c r="F9" s="63">
        <f t="shared" si="2"/>
        <v>5.5813953488372094</v>
      </c>
      <c r="G9" s="63">
        <f t="shared" si="3"/>
        <v>3.7209302325581395</v>
      </c>
      <c r="H9" s="63">
        <f t="shared" si="4"/>
        <v>2.0930232558139537</v>
      </c>
      <c r="I9" s="63">
        <f t="shared" si="5"/>
        <v>4.1666666666666661</v>
      </c>
      <c r="J9" s="63">
        <f t="shared" si="6"/>
        <v>6.25</v>
      </c>
      <c r="K9" s="63">
        <f t="shared" si="7"/>
        <v>11.111111111111109</v>
      </c>
    </row>
    <row r="10" spans="1:12">
      <c r="A10" s="34" t="s">
        <v>290</v>
      </c>
      <c r="B10" s="34">
        <v>120000</v>
      </c>
      <c r="C10" s="34">
        <v>4300</v>
      </c>
      <c r="D10" s="63">
        <f t="shared" si="0"/>
        <v>27.906976744186046</v>
      </c>
      <c r="E10" s="53">
        <f t="shared" si="1"/>
        <v>28</v>
      </c>
      <c r="F10" s="63">
        <f t="shared" si="2"/>
        <v>5.5813953488372094</v>
      </c>
      <c r="G10" s="63">
        <f t="shared" si="3"/>
        <v>3.7209302325581395</v>
      </c>
      <c r="H10" s="63">
        <f t="shared" si="4"/>
        <v>2.0930232558139537</v>
      </c>
      <c r="I10" s="63">
        <f t="shared" si="5"/>
        <v>5</v>
      </c>
      <c r="J10" s="63">
        <f t="shared" si="6"/>
        <v>7.5</v>
      </c>
      <c r="K10" s="63">
        <f t="shared" si="7"/>
        <v>13.333333333333332</v>
      </c>
    </row>
    <row r="11" spans="1:12">
      <c r="A11" s="34" t="s">
        <v>286</v>
      </c>
      <c r="B11" s="34">
        <v>35000</v>
      </c>
      <c r="C11" s="34">
        <v>8760</v>
      </c>
      <c r="D11" s="63">
        <f t="shared" si="0"/>
        <v>3.9954337899543377</v>
      </c>
      <c r="E11" s="34">
        <f t="shared" si="1"/>
        <v>4</v>
      </c>
      <c r="F11" s="63">
        <f t="shared" si="2"/>
        <v>2.7397260273972601</v>
      </c>
      <c r="G11" s="63">
        <f t="shared" si="3"/>
        <v>1.8264840182648401</v>
      </c>
      <c r="H11" s="63">
        <f t="shared" si="4"/>
        <v>1.0273972602739727</v>
      </c>
      <c r="I11" s="63">
        <f t="shared" si="5"/>
        <v>1.4583333333333333</v>
      </c>
      <c r="J11" s="63">
        <f t="shared" si="6"/>
        <v>2.1875</v>
      </c>
      <c r="K11" s="63">
        <f t="shared" si="7"/>
        <v>3.8888888888888884</v>
      </c>
    </row>
    <row r="12" spans="1:12">
      <c r="A12" s="34" t="s">
        <v>287</v>
      </c>
      <c r="B12" s="34">
        <v>43000</v>
      </c>
      <c r="C12" s="34">
        <v>8760</v>
      </c>
      <c r="D12" s="63">
        <f t="shared" si="0"/>
        <v>4.9086757990867582</v>
      </c>
      <c r="E12" s="34">
        <f t="shared" si="1"/>
        <v>5</v>
      </c>
      <c r="F12" s="63">
        <f t="shared" si="2"/>
        <v>2.7397260273972601</v>
      </c>
      <c r="G12" s="63">
        <f t="shared" si="3"/>
        <v>1.8264840182648401</v>
      </c>
      <c r="H12" s="63">
        <f t="shared" si="4"/>
        <v>1.0273972602739727</v>
      </c>
      <c r="I12" s="63">
        <f t="shared" si="5"/>
        <v>1.7916666666666667</v>
      </c>
      <c r="J12" s="63">
        <f t="shared" si="6"/>
        <v>2.6875000000000004</v>
      </c>
      <c r="K12" s="63">
        <f t="shared" si="7"/>
        <v>4.7777777777777777</v>
      </c>
    </row>
    <row r="13" spans="1:12">
      <c r="A13" s="34" t="s">
        <v>288</v>
      </c>
      <c r="B13" s="34">
        <v>50000</v>
      </c>
      <c r="C13" s="34">
        <v>8760</v>
      </c>
      <c r="D13" s="63">
        <f t="shared" si="0"/>
        <v>5.7077625570776256</v>
      </c>
      <c r="E13" s="34">
        <f t="shared" si="1"/>
        <v>6</v>
      </c>
      <c r="F13" s="63">
        <f t="shared" si="2"/>
        <v>2.7397260273972601</v>
      </c>
      <c r="G13" s="63">
        <f t="shared" si="3"/>
        <v>1.8264840182648401</v>
      </c>
      <c r="H13" s="63">
        <f t="shared" si="4"/>
        <v>1.0273972602739727</v>
      </c>
      <c r="I13" s="63">
        <f t="shared" si="5"/>
        <v>2.0833333333333335</v>
      </c>
      <c r="J13" s="63">
        <f t="shared" si="6"/>
        <v>3.125</v>
      </c>
      <c r="K13" s="63">
        <f t="shared" si="7"/>
        <v>5.5555555555555554</v>
      </c>
    </row>
    <row r="14" spans="1:12">
      <c r="A14" s="34" t="s">
        <v>411</v>
      </c>
      <c r="B14" s="34">
        <v>70000</v>
      </c>
      <c r="C14" s="34">
        <v>8760</v>
      </c>
      <c r="D14" s="63">
        <f t="shared" si="0"/>
        <v>7.9908675799086755</v>
      </c>
      <c r="E14" s="34">
        <f t="shared" si="1"/>
        <v>8</v>
      </c>
      <c r="F14" s="63">
        <f t="shared" si="2"/>
        <v>2.7397260273972601</v>
      </c>
      <c r="G14" s="63">
        <f t="shared" si="3"/>
        <v>1.8264840182648401</v>
      </c>
      <c r="H14" s="63">
        <f t="shared" si="4"/>
        <v>1.0273972602739727</v>
      </c>
      <c r="I14" s="63">
        <f t="shared" si="5"/>
        <v>2.9166666666666665</v>
      </c>
      <c r="J14" s="63">
        <f t="shared" si="6"/>
        <v>4.375</v>
      </c>
      <c r="K14" s="63">
        <f t="shared" si="7"/>
        <v>7.7777777777777768</v>
      </c>
    </row>
    <row r="15" spans="1:12">
      <c r="A15" s="34" t="s">
        <v>289</v>
      </c>
      <c r="B15" s="34">
        <v>100000</v>
      </c>
      <c r="C15" s="34">
        <v>8760</v>
      </c>
      <c r="D15" s="63">
        <f t="shared" si="0"/>
        <v>11.415525114155251</v>
      </c>
      <c r="E15" s="34">
        <f t="shared" si="1"/>
        <v>11</v>
      </c>
      <c r="F15" s="63">
        <f t="shared" si="2"/>
        <v>2.7397260273972601</v>
      </c>
      <c r="G15" s="63">
        <f t="shared" si="3"/>
        <v>1.8264840182648401</v>
      </c>
      <c r="H15" s="63">
        <f t="shared" si="4"/>
        <v>1.0273972602739727</v>
      </c>
      <c r="I15" s="63">
        <f t="shared" si="5"/>
        <v>4.166666666666667</v>
      </c>
      <c r="J15" s="63">
        <f t="shared" si="6"/>
        <v>6.25</v>
      </c>
      <c r="K15" s="63">
        <f t="shared" si="7"/>
        <v>11.111111111111111</v>
      </c>
    </row>
    <row r="16" spans="1:12">
      <c r="A16" s="34" t="s">
        <v>290</v>
      </c>
      <c r="B16" s="34">
        <v>120000</v>
      </c>
      <c r="C16" s="34">
        <v>8760</v>
      </c>
      <c r="D16" s="63">
        <f t="shared" si="0"/>
        <v>13.698630136986301</v>
      </c>
      <c r="E16" s="34">
        <f t="shared" si="1"/>
        <v>14</v>
      </c>
      <c r="F16" s="63">
        <f t="shared" si="2"/>
        <v>2.7397260273972601</v>
      </c>
      <c r="G16" s="63">
        <f t="shared" si="3"/>
        <v>1.8264840182648401</v>
      </c>
      <c r="H16" s="63">
        <f t="shared" si="4"/>
        <v>1.0273972602739727</v>
      </c>
      <c r="I16" s="63">
        <f t="shared" si="5"/>
        <v>5</v>
      </c>
      <c r="J16" s="63">
        <f t="shared" si="6"/>
        <v>7.5</v>
      </c>
      <c r="K16" s="63">
        <f t="shared" si="7"/>
        <v>13.333333333333332</v>
      </c>
    </row>
    <row r="17" spans="1:11">
      <c r="A17" s="34" t="s">
        <v>286</v>
      </c>
      <c r="B17" s="34">
        <v>35000</v>
      </c>
      <c r="C17" s="34">
        <v>1000</v>
      </c>
      <c r="D17" s="63">
        <f t="shared" si="0"/>
        <v>35</v>
      </c>
      <c r="E17" s="34">
        <f t="shared" si="1"/>
        <v>35</v>
      </c>
      <c r="F17" s="63">
        <f t="shared" si="2"/>
        <v>24</v>
      </c>
      <c r="G17" s="63">
        <f t="shared" si="3"/>
        <v>16</v>
      </c>
      <c r="H17" s="63">
        <f t="shared" si="4"/>
        <v>9</v>
      </c>
      <c r="I17" s="63">
        <f t="shared" si="5"/>
        <v>1.4583333333333333</v>
      </c>
      <c r="J17" s="63">
        <f t="shared" si="6"/>
        <v>2.1875</v>
      </c>
      <c r="K17" s="63">
        <f t="shared" si="7"/>
        <v>3.8888888888888888</v>
      </c>
    </row>
    <row r="18" spans="1:11">
      <c r="A18" s="34" t="s">
        <v>286</v>
      </c>
      <c r="B18" s="34">
        <v>35000</v>
      </c>
      <c r="C18" s="34">
        <v>2000</v>
      </c>
      <c r="D18" s="63">
        <f t="shared" si="0"/>
        <v>17.5</v>
      </c>
      <c r="E18" s="34">
        <f t="shared" si="1"/>
        <v>18</v>
      </c>
      <c r="F18" s="63">
        <f t="shared" si="2"/>
        <v>12</v>
      </c>
      <c r="G18" s="63">
        <f t="shared" si="3"/>
        <v>8</v>
      </c>
      <c r="H18" s="63">
        <f t="shared" si="4"/>
        <v>4.5</v>
      </c>
      <c r="I18" s="63">
        <f t="shared" si="5"/>
        <v>1.4583333333333333</v>
      </c>
      <c r="J18" s="63">
        <f t="shared" si="6"/>
        <v>2.1875</v>
      </c>
      <c r="K18" s="63">
        <f t="shared" si="7"/>
        <v>3.8888888888888888</v>
      </c>
    </row>
    <row r="19" spans="1:11">
      <c r="A19" s="34" t="s">
        <v>286</v>
      </c>
      <c r="B19" s="34">
        <v>35000</v>
      </c>
      <c r="C19" s="34">
        <v>3000</v>
      </c>
      <c r="D19" s="63">
        <f t="shared" si="0"/>
        <v>11.666666666666666</v>
      </c>
      <c r="E19" s="34">
        <f t="shared" si="1"/>
        <v>12</v>
      </c>
      <c r="F19" s="63">
        <f t="shared" si="2"/>
        <v>8</v>
      </c>
      <c r="G19" s="63">
        <f t="shared" si="3"/>
        <v>5.333333333333333</v>
      </c>
      <c r="H19" s="63">
        <f t="shared" si="4"/>
        <v>3</v>
      </c>
      <c r="I19" s="63">
        <f t="shared" si="5"/>
        <v>1.4583333333333333</v>
      </c>
      <c r="J19" s="63">
        <f t="shared" si="6"/>
        <v>2.1875</v>
      </c>
      <c r="K19" s="63">
        <f t="shared" si="7"/>
        <v>3.8888888888888888</v>
      </c>
    </row>
    <row r="20" spans="1:11">
      <c r="A20" s="34" t="s">
        <v>286</v>
      </c>
      <c r="B20" s="34">
        <v>35000</v>
      </c>
      <c r="C20" s="34">
        <v>4000</v>
      </c>
      <c r="D20" s="63">
        <f t="shared" si="0"/>
        <v>8.75</v>
      </c>
      <c r="E20" s="34">
        <f t="shared" si="1"/>
        <v>9</v>
      </c>
      <c r="F20" s="63">
        <f t="shared" si="2"/>
        <v>6</v>
      </c>
      <c r="G20" s="63">
        <f t="shared" si="3"/>
        <v>4</v>
      </c>
      <c r="H20" s="63">
        <f t="shared" si="4"/>
        <v>2.25</v>
      </c>
      <c r="I20" s="63">
        <f t="shared" si="5"/>
        <v>1.4583333333333333</v>
      </c>
      <c r="J20" s="63">
        <f t="shared" si="6"/>
        <v>2.1875</v>
      </c>
      <c r="K20" s="63">
        <f t="shared" si="7"/>
        <v>3.8888888888888888</v>
      </c>
    </row>
    <row r="21" spans="1:11">
      <c r="A21" s="34" t="s">
        <v>286</v>
      </c>
      <c r="B21" s="34">
        <v>35000</v>
      </c>
      <c r="C21" s="34">
        <v>5000</v>
      </c>
      <c r="D21" s="63">
        <f t="shared" si="0"/>
        <v>7</v>
      </c>
      <c r="E21" s="34">
        <f t="shared" si="1"/>
        <v>7</v>
      </c>
      <c r="F21" s="63">
        <f t="shared" si="2"/>
        <v>4.8</v>
      </c>
      <c r="G21" s="63">
        <f t="shared" si="3"/>
        <v>3.2</v>
      </c>
      <c r="H21" s="63">
        <f t="shared" si="4"/>
        <v>1.8</v>
      </c>
      <c r="I21" s="63">
        <f t="shared" si="5"/>
        <v>1.4583333333333335</v>
      </c>
      <c r="J21" s="63">
        <f t="shared" si="6"/>
        <v>2.1875</v>
      </c>
      <c r="K21" s="63">
        <f t="shared" si="7"/>
        <v>3.8888888888888888</v>
      </c>
    </row>
    <row r="22" spans="1:11">
      <c r="A22" s="34" t="s">
        <v>286</v>
      </c>
      <c r="B22" s="34">
        <v>35000</v>
      </c>
      <c r="C22" s="34">
        <v>6000</v>
      </c>
      <c r="D22" s="63">
        <f t="shared" si="0"/>
        <v>5.833333333333333</v>
      </c>
      <c r="E22" s="34">
        <f t="shared" si="1"/>
        <v>6</v>
      </c>
      <c r="F22" s="63">
        <f t="shared" si="2"/>
        <v>4</v>
      </c>
      <c r="G22" s="63">
        <f t="shared" si="3"/>
        <v>2.6666666666666665</v>
      </c>
      <c r="H22" s="63">
        <f t="shared" si="4"/>
        <v>1.5</v>
      </c>
      <c r="I22" s="63">
        <f t="shared" si="5"/>
        <v>1.4583333333333333</v>
      </c>
      <c r="J22" s="63">
        <f t="shared" si="6"/>
        <v>2.1875</v>
      </c>
      <c r="K22" s="63">
        <f t="shared" si="7"/>
        <v>3.8888888888888888</v>
      </c>
    </row>
    <row r="23" spans="1:11">
      <c r="A23" s="34" t="s">
        <v>286</v>
      </c>
      <c r="B23" s="34">
        <v>35000</v>
      </c>
      <c r="C23" s="34">
        <v>7000</v>
      </c>
      <c r="D23" s="63">
        <f t="shared" si="0"/>
        <v>5</v>
      </c>
      <c r="E23" s="34">
        <f t="shared" si="1"/>
        <v>5</v>
      </c>
      <c r="F23" s="63">
        <f t="shared" si="2"/>
        <v>3.4285714285714284</v>
      </c>
      <c r="G23" s="63">
        <f t="shared" si="3"/>
        <v>2.2857142857142856</v>
      </c>
      <c r="H23" s="63">
        <f t="shared" si="4"/>
        <v>1.2857142857142858</v>
      </c>
      <c r="I23" s="63">
        <f t="shared" si="5"/>
        <v>1.4583333333333335</v>
      </c>
      <c r="J23" s="63">
        <f t="shared" si="6"/>
        <v>2.1875</v>
      </c>
      <c r="K23" s="63">
        <f t="shared" si="7"/>
        <v>3.8888888888888884</v>
      </c>
    </row>
    <row r="24" spans="1:11">
      <c r="A24" s="34" t="s">
        <v>286</v>
      </c>
      <c r="B24" s="34">
        <v>35000</v>
      </c>
      <c r="C24" s="34">
        <v>8000</v>
      </c>
      <c r="D24" s="63">
        <f t="shared" si="0"/>
        <v>4.375</v>
      </c>
      <c r="E24" s="34">
        <f t="shared" si="1"/>
        <v>4</v>
      </c>
      <c r="F24" s="63">
        <f t="shared" si="2"/>
        <v>3</v>
      </c>
      <c r="G24" s="63">
        <f t="shared" si="3"/>
        <v>2</v>
      </c>
      <c r="H24" s="63">
        <f t="shared" si="4"/>
        <v>1.125</v>
      </c>
      <c r="I24" s="63">
        <f t="shared" si="5"/>
        <v>1.4583333333333333</v>
      </c>
      <c r="J24" s="63">
        <f t="shared" si="6"/>
        <v>2.1875</v>
      </c>
      <c r="K24" s="63">
        <f t="shared" si="7"/>
        <v>3.8888888888888888</v>
      </c>
    </row>
    <row r="25" spans="1:11">
      <c r="A25" s="34" t="s">
        <v>288</v>
      </c>
      <c r="B25" s="34">
        <v>50000</v>
      </c>
      <c r="C25" s="34">
        <v>1000</v>
      </c>
      <c r="D25" s="63">
        <f t="shared" si="0"/>
        <v>50</v>
      </c>
      <c r="E25" s="34">
        <f t="shared" si="1"/>
        <v>50</v>
      </c>
      <c r="F25" s="63">
        <f t="shared" si="2"/>
        <v>24</v>
      </c>
      <c r="G25" s="63">
        <f t="shared" si="3"/>
        <v>16</v>
      </c>
      <c r="H25" s="63">
        <f t="shared" si="4"/>
        <v>9</v>
      </c>
      <c r="I25" s="63">
        <f t="shared" si="5"/>
        <v>2.0833333333333335</v>
      </c>
      <c r="J25" s="63">
        <f t="shared" si="6"/>
        <v>3.125</v>
      </c>
      <c r="K25" s="63">
        <f t="shared" si="7"/>
        <v>5.5555555555555554</v>
      </c>
    </row>
    <row r="26" spans="1:11">
      <c r="A26" s="34" t="s">
        <v>288</v>
      </c>
      <c r="B26" s="34">
        <v>50000</v>
      </c>
      <c r="C26" s="34">
        <v>2000</v>
      </c>
      <c r="D26" s="63">
        <f t="shared" si="0"/>
        <v>25</v>
      </c>
      <c r="E26" s="34">
        <f t="shared" si="1"/>
        <v>25</v>
      </c>
      <c r="F26" s="63">
        <f t="shared" si="2"/>
        <v>12</v>
      </c>
      <c r="G26" s="63">
        <f t="shared" si="3"/>
        <v>8</v>
      </c>
      <c r="H26" s="63">
        <f t="shared" si="4"/>
        <v>4.5</v>
      </c>
      <c r="I26" s="63">
        <f t="shared" si="5"/>
        <v>2.0833333333333335</v>
      </c>
      <c r="J26" s="63">
        <f t="shared" si="6"/>
        <v>3.125</v>
      </c>
      <c r="K26" s="63">
        <f t="shared" si="7"/>
        <v>5.5555555555555554</v>
      </c>
    </row>
    <row r="27" spans="1:11">
      <c r="A27" s="34" t="s">
        <v>288</v>
      </c>
      <c r="B27" s="34">
        <v>50000</v>
      </c>
      <c r="C27" s="34">
        <v>3000</v>
      </c>
      <c r="D27" s="63">
        <f t="shared" si="0"/>
        <v>16.666666666666668</v>
      </c>
      <c r="E27" s="34">
        <f t="shared" si="1"/>
        <v>17</v>
      </c>
      <c r="F27" s="63">
        <f t="shared" si="2"/>
        <v>8</v>
      </c>
      <c r="G27" s="63">
        <f t="shared" si="3"/>
        <v>5.333333333333333</v>
      </c>
      <c r="H27" s="63">
        <f t="shared" si="4"/>
        <v>3</v>
      </c>
      <c r="I27" s="63">
        <f t="shared" si="5"/>
        <v>2.0833333333333335</v>
      </c>
      <c r="J27" s="63">
        <f t="shared" si="6"/>
        <v>3.1250000000000004</v>
      </c>
      <c r="K27" s="63">
        <f t="shared" si="7"/>
        <v>5.5555555555555562</v>
      </c>
    </row>
    <row r="28" spans="1:11">
      <c r="A28" s="34" t="s">
        <v>288</v>
      </c>
      <c r="B28" s="34">
        <v>50000</v>
      </c>
      <c r="C28" s="34">
        <v>4000</v>
      </c>
      <c r="D28" s="63">
        <f t="shared" si="0"/>
        <v>12.5</v>
      </c>
      <c r="E28" s="34">
        <f t="shared" si="1"/>
        <v>13</v>
      </c>
      <c r="F28" s="63">
        <f t="shared" si="2"/>
        <v>6</v>
      </c>
      <c r="G28" s="63">
        <f t="shared" si="3"/>
        <v>4</v>
      </c>
      <c r="H28" s="63">
        <f t="shared" si="4"/>
        <v>2.25</v>
      </c>
      <c r="I28" s="63">
        <f t="shared" si="5"/>
        <v>2.0833333333333335</v>
      </c>
      <c r="J28" s="63">
        <f t="shared" si="6"/>
        <v>3.125</v>
      </c>
      <c r="K28" s="63">
        <f t="shared" si="7"/>
        <v>5.5555555555555554</v>
      </c>
    </row>
    <row r="29" spans="1:11">
      <c r="A29" s="34" t="s">
        <v>288</v>
      </c>
      <c r="B29" s="34">
        <v>50000</v>
      </c>
      <c r="C29" s="34">
        <v>5000</v>
      </c>
      <c r="D29" s="63">
        <f t="shared" si="0"/>
        <v>10</v>
      </c>
      <c r="E29" s="34">
        <f t="shared" si="1"/>
        <v>10</v>
      </c>
      <c r="F29" s="63">
        <f t="shared" si="2"/>
        <v>4.8</v>
      </c>
      <c r="G29" s="63">
        <f t="shared" si="3"/>
        <v>3.2</v>
      </c>
      <c r="H29" s="63">
        <f t="shared" si="4"/>
        <v>1.8</v>
      </c>
      <c r="I29" s="63">
        <f t="shared" si="5"/>
        <v>2.0833333333333335</v>
      </c>
      <c r="J29" s="63">
        <f t="shared" si="6"/>
        <v>3.125</v>
      </c>
      <c r="K29" s="63">
        <f t="shared" si="7"/>
        <v>5.5555555555555554</v>
      </c>
    </row>
    <row r="30" spans="1:11">
      <c r="A30" s="34" t="s">
        <v>288</v>
      </c>
      <c r="B30" s="34">
        <v>50000</v>
      </c>
      <c r="C30" s="34">
        <v>6000</v>
      </c>
      <c r="D30" s="63">
        <f t="shared" si="0"/>
        <v>8.3333333333333339</v>
      </c>
      <c r="E30" s="34">
        <f t="shared" si="1"/>
        <v>8</v>
      </c>
      <c r="F30" s="63">
        <f t="shared" si="2"/>
        <v>4</v>
      </c>
      <c r="G30" s="63">
        <f t="shared" si="3"/>
        <v>2.6666666666666665</v>
      </c>
      <c r="H30" s="63">
        <f t="shared" si="4"/>
        <v>1.5</v>
      </c>
      <c r="I30" s="63">
        <f t="shared" si="5"/>
        <v>2.0833333333333335</v>
      </c>
      <c r="J30" s="63">
        <f t="shared" si="6"/>
        <v>3.1250000000000004</v>
      </c>
      <c r="K30" s="63">
        <f t="shared" si="7"/>
        <v>5.5555555555555562</v>
      </c>
    </row>
    <row r="31" spans="1:11">
      <c r="A31" s="34" t="s">
        <v>288</v>
      </c>
      <c r="B31" s="34">
        <v>50000</v>
      </c>
      <c r="C31" s="34">
        <v>7000</v>
      </c>
      <c r="D31" s="63">
        <f t="shared" si="0"/>
        <v>7.1428571428571432</v>
      </c>
      <c r="E31" s="34">
        <f t="shared" si="1"/>
        <v>7</v>
      </c>
      <c r="F31" s="63">
        <f t="shared" si="2"/>
        <v>3.4285714285714284</v>
      </c>
      <c r="G31" s="63">
        <f t="shared" si="3"/>
        <v>2.2857142857142856</v>
      </c>
      <c r="H31" s="63">
        <f t="shared" si="4"/>
        <v>1.2857142857142858</v>
      </c>
      <c r="I31" s="63">
        <f t="shared" si="5"/>
        <v>2.0833333333333335</v>
      </c>
      <c r="J31" s="63">
        <f t="shared" si="6"/>
        <v>3.1250000000000004</v>
      </c>
      <c r="K31" s="63">
        <f t="shared" si="7"/>
        <v>5.5555555555555554</v>
      </c>
    </row>
    <row r="32" spans="1:11">
      <c r="A32" s="34" t="s">
        <v>288</v>
      </c>
      <c r="B32" s="34">
        <v>50000</v>
      </c>
      <c r="C32" s="34">
        <v>8000</v>
      </c>
      <c r="D32" s="63">
        <f t="shared" si="0"/>
        <v>6.25</v>
      </c>
      <c r="E32" s="34">
        <f t="shared" si="1"/>
        <v>6</v>
      </c>
      <c r="F32" s="63">
        <f t="shared" si="2"/>
        <v>3</v>
      </c>
      <c r="G32" s="63">
        <f t="shared" si="3"/>
        <v>2</v>
      </c>
      <c r="H32" s="63">
        <f t="shared" si="4"/>
        <v>1.125</v>
      </c>
      <c r="I32" s="63">
        <f t="shared" si="5"/>
        <v>2.0833333333333335</v>
      </c>
      <c r="J32" s="63">
        <f t="shared" si="6"/>
        <v>3.125</v>
      </c>
      <c r="K32" s="63">
        <f t="shared" si="7"/>
        <v>5.5555555555555554</v>
      </c>
    </row>
  </sheetData>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sheetPr codeName="Sheet13"/>
  <dimension ref="A4:C16"/>
  <sheetViews>
    <sheetView workbookViewId="0">
      <selection activeCell="B25" sqref="B25"/>
    </sheetView>
  </sheetViews>
  <sheetFormatPr defaultRowHeight="12.75"/>
  <cols>
    <col min="2" max="2" width="81.5703125" customWidth="1"/>
    <col min="3" max="3" width="78.42578125" customWidth="1"/>
  </cols>
  <sheetData>
    <row r="4" spans="1:3">
      <c r="A4" s="267" t="s">
        <v>432</v>
      </c>
      <c r="B4" s="267" t="s">
        <v>406</v>
      </c>
      <c r="C4" s="267" t="s">
        <v>407</v>
      </c>
    </row>
    <row r="5" spans="1:3">
      <c r="A5" s="196">
        <v>1</v>
      </c>
      <c r="B5" s="179" t="s">
        <v>408</v>
      </c>
      <c r="C5" s="180" t="s">
        <v>405</v>
      </c>
    </row>
    <row r="6" spans="1:3" ht="15" customHeight="1">
      <c r="A6" s="196">
        <v>2</v>
      </c>
      <c r="B6" s="179" t="s">
        <v>410</v>
      </c>
      <c r="C6" s="180" t="s">
        <v>409</v>
      </c>
    </row>
    <row r="7" spans="1:3">
      <c r="A7" s="196">
        <v>3</v>
      </c>
      <c r="B7" s="180" t="s">
        <v>433</v>
      </c>
      <c r="C7" s="180" t="s">
        <v>434</v>
      </c>
    </row>
    <row r="8" spans="1:3">
      <c r="A8" s="196">
        <v>4</v>
      </c>
      <c r="B8" s="180" t="s">
        <v>444</v>
      </c>
      <c r="C8" s="180" t="s">
        <v>445</v>
      </c>
    </row>
    <row r="9" spans="1:3">
      <c r="A9" s="196">
        <v>5</v>
      </c>
      <c r="B9" s="180" t="s">
        <v>458</v>
      </c>
      <c r="C9" s="180" t="s">
        <v>457</v>
      </c>
    </row>
    <row r="10" spans="1:3">
      <c r="A10" s="196">
        <v>6</v>
      </c>
      <c r="B10" s="180" t="s">
        <v>1013</v>
      </c>
      <c r="C10" s="180" t="s">
        <v>409</v>
      </c>
    </row>
    <row r="11" spans="1:3">
      <c r="A11" s="196">
        <v>7</v>
      </c>
      <c r="B11" s="180" t="s">
        <v>1015</v>
      </c>
      <c r="C11" s="180" t="s">
        <v>1014</v>
      </c>
    </row>
    <row r="12" spans="1:3">
      <c r="A12" s="196"/>
      <c r="B12" s="180"/>
      <c r="C12" s="180"/>
    </row>
    <row r="13" spans="1:3">
      <c r="A13" s="196"/>
    </row>
    <row r="14" spans="1:3">
      <c r="A14" s="196"/>
    </row>
    <row r="15" spans="1:3">
      <c r="A15" s="196"/>
    </row>
    <row r="16" spans="1:3">
      <c r="A16" s="196"/>
    </row>
  </sheetData>
  <hyperlinks>
    <hyperlink ref="C7" r:id="rId1"/>
    <hyperlink ref="C8" r:id="rId2"/>
  </hyperlinks>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2"/>
  <dimension ref="A1:Z206"/>
  <sheetViews>
    <sheetView topLeftCell="A70" zoomScale="89" workbookViewId="0">
      <selection activeCell="D55" sqref="D55"/>
    </sheetView>
  </sheetViews>
  <sheetFormatPr defaultRowHeight="12.75"/>
  <cols>
    <col min="1" max="1" width="20.28515625" style="93" customWidth="1"/>
    <col min="2" max="2" width="30.85546875" style="66" customWidth="1"/>
    <col min="3" max="3" width="14.28515625" style="66" customWidth="1"/>
    <col min="4" max="4" width="54" style="66" customWidth="1"/>
    <col min="5" max="5" width="10" style="66" customWidth="1"/>
    <col min="6" max="6" width="10.28515625" style="66" customWidth="1"/>
    <col min="7" max="7" width="12.28515625" style="66" customWidth="1"/>
    <col min="8" max="9" width="9.140625" style="66"/>
    <col min="10" max="10" width="29.5703125" style="66" customWidth="1"/>
    <col min="11" max="12" width="13" style="66" customWidth="1"/>
    <col min="13" max="13" width="13.140625" style="66" customWidth="1"/>
    <col min="14" max="14" width="12.85546875" style="66" customWidth="1"/>
    <col min="15" max="15" width="12.140625" style="66" customWidth="1"/>
    <col min="16" max="16" width="12.28515625" style="66" customWidth="1"/>
    <col min="17" max="17" width="12.140625" style="66" customWidth="1"/>
    <col min="18" max="18" width="11.5703125" style="66" customWidth="1"/>
    <col min="19" max="19" width="11.42578125" style="66" customWidth="1"/>
    <col min="20" max="20" width="11.140625" style="66" customWidth="1"/>
    <col min="21" max="21" width="10.28515625" style="66" customWidth="1"/>
    <col min="22" max="22" width="32.42578125" style="66" customWidth="1"/>
    <col min="23" max="25" width="9.140625" style="66"/>
    <col min="26" max="26" width="10.85546875" style="66" customWidth="1"/>
    <col min="27" max="16384" width="9.140625" style="66"/>
  </cols>
  <sheetData>
    <row r="1" spans="1:23">
      <c r="A1" s="64" t="s">
        <v>175</v>
      </c>
      <c r="B1" s="65"/>
      <c r="C1" s="65"/>
      <c r="D1" s="65"/>
      <c r="E1" s="65"/>
      <c r="F1" s="65"/>
    </row>
    <row r="2" spans="1:23">
      <c r="A2" s="67"/>
      <c r="B2" s="68"/>
      <c r="C2" s="68"/>
      <c r="D2" s="68"/>
      <c r="E2" s="68"/>
      <c r="F2" s="68"/>
    </row>
    <row r="3" spans="1:23">
      <c r="A3" s="67" t="s">
        <v>176</v>
      </c>
      <c r="B3" s="68"/>
      <c r="C3" s="69" t="s">
        <v>177</v>
      </c>
      <c r="D3" s="68"/>
      <c r="E3" s="68"/>
      <c r="F3" s="68"/>
    </row>
    <row r="4" spans="1:23" ht="15">
      <c r="A4" s="67"/>
      <c r="B4" s="68"/>
      <c r="C4" s="69" t="s">
        <v>178</v>
      </c>
      <c r="D4" s="114" t="s">
        <v>397</v>
      </c>
      <c r="E4" s="112"/>
      <c r="F4" s="112"/>
    </row>
    <row r="5" spans="1:23">
      <c r="A5" s="67"/>
      <c r="B5" s="68"/>
      <c r="C5" s="68"/>
      <c r="D5" s="110" t="s">
        <v>387</v>
      </c>
      <c r="E5" s="112"/>
      <c r="F5" s="112"/>
      <c r="I5" s="480" t="s">
        <v>179</v>
      </c>
      <c r="J5" s="481"/>
      <c r="K5" s="481"/>
      <c r="L5" s="481"/>
      <c r="M5" s="481"/>
      <c r="N5" s="481"/>
      <c r="O5" s="481"/>
      <c r="P5" s="481"/>
      <c r="Q5" s="481"/>
      <c r="R5" s="481"/>
      <c r="S5" s="481"/>
      <c r="T5" s="481"/>
      <c r="U5" s="481"/>
      <c r="V5" s="481"/>
    </row>
    <row r="6" spans="1:23" ht="15">
      <c r="A6" s="67"/>
      <c r="B6" s="68"/>
      <c r="C6" s="68"/>
      <c r="D6" s="114" t="s">
        <v>399</v>
      </c>
      <c r="E6" s="114"/>
      <c r="F6" s="114" t="s">
        <v>398</v>
      </c>
      <c r="I6" s="136"/>
      <c r="J6" s="136"/>
      <c r="K6" s="482" t="s">
        <v>180</v>
      </c>
      <c r="L6" s="483"/>
      <c r="M6" s="483"/>
      <c r="N6" s="483"/>
      <c r="O6" s="483"/>
      <c r="P6" s="483"/>
      <c r="Q6" s="484"/>
      <c r="R6" s="137"/>
      <c r="S6" s="138">
        <v>0.04</v>
      </c>
      <c r="T6" s="136"/>
      <c r="U6" s="136"/>
      <c r="V6" s="136"/>
      <c r="W6" s="71"/>
    </row>
    <row r="7" spans="1:23" ht="99" customHeight="1">
      <c r="A7" s="67"/>
      <c r="B7" s="68"/>
      <c r="C7" s="11"/>
      <c r="D7" s="14" t="s">
        <v>389</v>
      </c>
      <c r="E7" s="114" t="s">
        <v>400</v>
      </c>
      <c r="F7" s="112"/>
      <c r="I7" s="136"/>
      <c r="J7" s="136"/>
      <c r="K7" s="139" t="s">
        <v>181</v>
      </c>
      <c r="L7" s="139" t="s">
        <v>182</v>
      </c>
      <c r="M7" s="139" t="s">
        <v>183</v>
      </c>
      <c r="N7" s="139" t="s">
        <v>184</v>
      </c>
      <c r="O7" s="139" t="s">
        <v>185</v>
      </c>
      <c r="P7" s="139" t="s">
        <v>186</v>
      </c>
      <c r="Q7" s="140" t="s">
        <v>187</v>
      </c>
      <c r="R7" s="139" t="s">
        <v>188</v>
      </c>
      <c r="S7" s="139" t="s">
        <v>189</v>
      </c>
      <c r="T7" s="139" t="s">
        <v>190</v>
      </c>
      <c r="U7" s="139" t="s">
        <v>191</v>
      </c>
      <c r="V7" s="141" t="s">
        <v>192</v>
      </c>
      <c r="W7" s="72" t="s">
        <v>193</v>
      </c>
    </row>
    <row r="8" spans="1:23" ht="17.25" customHeight="1">
      <c r="A8" s="67"/>
      <c r="B8" s="68"/>
      <c r="C8" s="11"/>
      <c r="D8" s="11"/>
      <c r="E8" s="112"/>
      <c r="F8" s="112"/>
      <c r="I8" s="125" t="s">
        <v>194</v>
      </c>
      <c r="J8" s="99"/>
      <c r="K8" s="99"/>
      <c r="L8" s="98"/>
      <c r="M8" s="124"/>
      <c r="N8" s="124"/>
      <c r="O8" s="99"/>
      <c r="P8" s="124"/>
      <c r="Q8" s="99"/>
      <c r="R8" s="99"/>
      <c r="S8" s="99"/>
      <c r="T8" s="99"/>
      <c r="U8" s="99"/>
      <c r="V8" s="126"/>
      <c r="W8" s="70"/>
    </row>
    <row r="9" spans="1:23">
      <c r="A9" s="67"/>
      <c r="B9" s="68"/>
      <c r="C9" s="11"/>
      <c r="D9" s="11"/>
      <c r="E9" s="112"/>
      <c r="F9" s="112"/>
      <c r="I9" s="99"/>
      <c r="J9" s="125" t="s">
        <v>195</v>
      </c>
      <c r="K9" s="125">
        <v>2.4</v>
      </c>
      <c r="L9" s="98">
        <v>0.52</v>
      </c>
      <c r="M9" s="127">
        <v>2.0299999999999998</v>
      </c>
      <c r="N9" s="128">
        <f>M9/K9</f>
        <v>0.84583333333333333</v>
      </c>
      <c r="O9" s="128">
        <f>M9/$M$24</f>
        <v>1.1267136593217517E-2</v>
      </c>
      <c r="P9" s="99">
        <v>4.8499999999999996</v>
      </c>
      <c r="Q9" s="104">
        <f>M9*1000000000/8760/1000</f>
        <v>231.73515981735159</v>
      </c>
      <c r="R9" s="104">
        <f>K9*1000000000000/8760/1000000*$S$6</f>
        <v>10.95890410958904</v>
      </c>
      <c r="S9" s="129">
        <f>Q9*$S$6</f>
        <v>9.269406392694064</v>
      </c>
      <c r="T9" s="98">
        <v>0.5</v>
      </c>
      <c r="U9" s="127">
        <f>S9*T9</f>
        <v>4.634703196347032</v>
      </c>
      <c r="V9" s="126"/>
      <c r="W9" s="72" t="s">
        <v>196</v>
      </c>
    </row>
    <row r="10" spans="1:23">
      <c r="A10" s="67"/>
      <c r="B10" s="68"/>
      <c r="C10" s="11"/>
      <c r="D10" s="11"/>
      <c r="E10" s="112"/>
      <c r="F10" s="112"/>
      <c r="I10" s="99"/>
      <c r="J10" s="125" t="s">
        <v>197</v>
      </c>
      <c r="K10" s="125">
        <v>6.6</v>
      </c>
      <c r="L10" s="130">
        <v>0.05</v>
      </c>
      <c r="M10" s="127">
        <v>5.97</v>
      </c>
      <c r="N10" s="128">
        <f t="shared" ref="N10:N22" si="0">M10/K10</f>
        <v>0.90454545454545454</v>
      </c>
      <c r="O10" s="128">
        <f>M10/$M$24</f>
        <v>3.3135372148526396E-2</v>
      </c>
      <c r="P10" s="99">
        <v>6.3</v>
      </c>
      <c r="Q10" s="104">
        <f>M10*1000000000/8760/1000</f>
        <v>681.50684931506851</v>
      </c>
      <c r="R10" s="104">
        <f t="shared" ref="R10:R22" si="1">K10*1000000000000/8760/1000000*$S$6</f>
        <v>30.136986301369863</v>
      </c>
      <c r="S10" s="129">
        <f t="shared" ref="S10:S22" si="2">Q10*$S$6</f>
        <v>27.260273972602739</v>
      </c>
      <c r="T10" s="98">
        <v>1</v>
      </c>
      <c r="U10" s="127">
        <f t="shared" ref="U10:U22" si="3">S10*T10</f>
        <v>27.260273972602739</v>
      </c>
      <c r="V10" s="126"/>
      <c r="W10" s="70"/>
    </row>
    <row r="11" spans="1:23">
      <c r="A11" s="67"/>
      <c r="B11" s="68"/>
      <c r="C11" s="11"/>
      <c r="D11" s="11"/>
      <c r="E11" s="112"/>
      <c r="F11" s="112"/>
      <c r="I11" s="99"/>
      <c r="J11" s="125" t="s">
        <v>198</v>
      </c>
      <c r="K11" s="125">
        <v>2.5</v>
      </c>
      <c r="L11" s="130">
        <v>0.88</v>
      </c>
      <c r="M11" s="127">
        <v>0.63</v>
      </c>
      <c r="N11" s="128">
        <f t="shared" si="0"/>
        <v>0.252</v>
      </c>
      <c r="O11" s="128">
        <f>M11/$M$24</f>
        <v>3.4966975634123333E-3</v>
      </c>
      <c r="P11" s="99">
        <v>5.18</v>
      </c>
      <c r="Q11" s="104">
        <f>M11*1000000000/8760/1000</f>
        <v>71.917808219178085</v>
      </c>
      <c r="R11" s="104">
        <f t="shared" si="1"/>
        <v>11.415525114155253</v>
      </c>
      <c r="S11" s="129">
        <f t="shared" si="2"/>
        <v>2.8767123287671232</v>
      </c>
      <c r="T11" s="98">
        <v>1</v>
      </c>
      <c r="U11" s="127">
        <f t="shared" si="3"/>
        <v>2.8767123287671232</v>
      </c>
      <c r="V11" s="126"/>
      <c r="W11" s="72" t="s">
        <v>199</v>
      </c>
    </row>
    <row r="12" spans="1:23">
      <c r="A12" s="67"/>
      <c r="B12" s="68"/>
      <c r="C12" s="11"/>
      <c r="D12" s="11"/>
      <c r="E12" s="112"/>
      <c r="F12" s="112"/>
      <c r="I12" s="99"/>
      <c r="J12" s="125" t="s">
        <v>200</v>
      </c>
      <c r="K12" s="125">
        <v>11.6</v>
      </c>
      <c r="L12" s="130">
        <v>0.06</v>
      </c>
      <c r="M12" s="127">
        <v>6.58</v>
      </c>
      <c r="N12" s="128">
        <f t="shared" si="0"/>
        <v>0.56724137931034491</v>
      </c>
      <c r="O12" s="128">
        <f>M12/$M$24</f>
        <v>3.6521063440084364E-2</v>
      </c>
      <c r="P12" s="99">
        <v>7.53</v>
      </c>
      <c r="Q12" s="104">
        <f>M12*1000000000/8760/1000</f>
        <v>751.14155251141551</v>
      </c>
      <c r="R12" s="104">
        <f t="shared" si="1"/>
        <v>52.968036529680369</v>
      </c>
      <c r="S12" s="129">
        <f t="shared" si="2"/>
        <v>30.045662100456621</v>
      </c>
      <c r="T12" s="98">
        <v>1</v>
      </c>
      <c r="U12" s="127">
        <f t="shared" si="3"/>
        <v>30.045662100456621</v>
      </c>
      <c r="V12" s="126"/>
      <c r="W12" s="72" t="s">
        <v>201</v>
      </c>
    </row>
    <row r="13" spans="1:23">
      <c r="A13" s="67"/>
      <c r="B13" s="68"/>
      <c r="C13" s="11"/>
      <c r="D13" s="11"/>
      <c r="E13" s="112"/>
      <c r="F13" s="112"/>
      <c r="I13" s="125" t="s">
        <v>202</v>
      </c>
      <c r="J13" s="99"/>
      <c r="K13" s="99"/>
      <c r="L13" s="99"/>
      <c r="M13" s="127"/>
      <c r="N13" s="99"/>
      <c r="O13" s="128"/>
      <c r="P13" s="99"/>
      <c r="Q13" s="99"/>
      <c r="R13" s="99"/>
      <c r="S13" s="99"/>
      <c r="T13" s="99"/>
      <c r="U13" s="127"/>
      <c r="V13" s="126"/>
      <c r="W13" s="70"/>
    </row>
    <row r="14" spans="1:23">
      <c r="A14" s="67"/>
      <c r="B14" s="68"/>
      <c r="C14" s="11"/>
      <c r="D14" s="11"/>
      <c r="E14" s="68"/>
      <c r="F14" s="68"/>
      <c r="I14" s="99"/>
      <c r="J14" s="125" t="s">
        <v>203</v>
      </c>
      <c r="K14" s="125">
        <v>103</v>
      </c>
      <c r="L14" s="130">
        <v>0</v>
      </c>
      <c r="M14" s="127">
        <v>81.2</v>
      </c>
      <c r="N14" s="128">
        <f t="shared" si="0"/>
        <v>0.78834951456310687</v>
      </c>
      <c r="O14" s="128">
        <f t="shared" ref="O14:O19" si="4">M14/$M$24</f>
        <v>0.45068546372870072</v>
      </c>
      <c r="P14" s="99">
        <v>81.2</v>
      </c>
      <c r="Q14" s="104">
        <f>M14*1000000000/8760/1000</f>
        <v>9269.4063926940635</v>
      </c>
      <c r="R14" s="104">
        <f t="shared" si="1"/>
        <v>470.31963470319636</v>
      </c>
      <c r="S14" s="129">
        <f t="shared" si="2"/>
        <v>370.77625570776257</v>
      </c>
      <c r="T14" s="98">
        <v>0.2</v>
      </c>
      <c r="U14" s="127">
        <f t="shared" si="3"/>
        <v>74.155251141552512</v>
      </c>
      <c r="V14" s="126"/>
      <c r="W14" s="72" t="s">
        <v>204</v>
      </c>
    </row>
    <row r="15" spans="1:23">
      <c r="A15" s="67"/>
      <c r="B15" s="68"/>
      <c r="C15" s="11"/>
      <c r="D15" s="11"/>
      <c r="E15" s="68"/>
      <c r="F15" s="68"/>
      <c r="I15" s="99"/>
      <c r="J15" s="125" t="s">
        <v>205</v>
      </c>
      <c r="K15" s="125">
        <v>13</v>
      </c>
      <c r="L15" s="131">
        <v>3.5999999999999997E-2</v>
      </c>
      <c r="M15" s="132">
        <v>2</v>
      </c>
      <c r="N15" s="128">
        <f t="shared" si="0"/>
        <v>0.15384615384615385</v>
      </c>
      <c r="O15" s="128">
        <f t="shared" si="4"/>
        <v>1.1100627185435977E-2</v>
      </c>
      <c r="P15" s="99">
        <v>25.4</v>
      </c>
      <c r="Q15" s="104">
        <f t="shared" ref="Q15:Q22" si="5">M15*1000000000/8760/1000</f>
        <v>228.31050228310502</v>
      </c>
      <c r="R15" s="104">
        <f t="shared" si="1"/>
        <v>59.360730593607308</v>
      </c>
      <c r="S15" s="129">
        <f t="shared" si="2"/>
        <v>9.1324200913242013</v>
      </c>
      <c r="T15" s="98">
        <v>0.8</v>
      </c>
      <c r="U15" s="127">
        <f t="shared" si="3"/>
        <v>7.3059360730593612</v>
      </c>
      <c r="V15" s="133" t="s">
        <v>206</v>
      </c>
      <c r="W15" s="72" t="s">
        <v>207</v>
      </c>
    </row>
    <row r="16" spans="1:23">
      <c r="A16" s="67"/>
      <c r="B16" s="68"/>
      <c r="C16" s="68"/>
      <c r="D16" s="68"/>
      <c r="E16" s="68"/>
      <c r="F16" s="68"/>
      <c r="I16" s="99"/>
      <c r="J16" s="125" t="s">
        <v>208</v>
      </c>
      <c r="K16" s="125">
        <v>32</v>
      </c>
      <c r="L16" s="134">
        <v>0</v>
      </c>
      <c r="M16" s="127">
        <v>7.87</v>
      </c>
      <c r="N16" s="128">
        <f t="shared" si="0"/>
        <v>0.2459375</v>
      </c>
      <c r="O16" s="128">
        <f t="shared" si="4"/>
        <v>4.3680967974690572E-2</v>
      </c>
      <c r="P16" s="99">
        <v>7.87</v>
      </c>
      <c r="Q16" s="104">
        <f t="shared" si="5"/>
        <v>898.40182648401822</v>
      </c>
      <c r="R16" s="104">
        <f t="shared" si="1"/>
        <v>146.11872146118722</v>
      </c>
      <c r="S16" s="129">
        <f t="shared" si="2"/>
        <v>35.93607305936073</v>
      </c>
      <c r="T16" s="98">
        <v>0.5</v>
      </c>
      <c r="U16" s="127">
        <f t="shared" si="3"/>
        <v>17.968036529680365</v>
      </c>
      <c r="V16" s="126"/>
      <c r="W16" s="72" t="s">
        <v>209</v>
      </c>
    </row>
    <row r="17" spans="1:26">
      <c r="A17" s="67"/>
      <c r="B17" s="68"/>
      <c r="C17" s="68"/>
      <c r="D17" s="68"/>
      <c r="E17" s="68"/>
      <c r="F17" s="68"/>
      <c r="I17" s="99"/>
      <c r="J17" s="125" t="s">
        <v>210</v>
      </c>
      <c r="K17" s="125">
        <v>19</v>
      </c>
      <c r="L17" s="134">
        <v>0</v>
      </c>
      <c r="M17" s="127">
        <v>13</v>
      </c>
      <c r="N17" s="128">
        <f t="shared" si="0"/>
        <v>0.68421052631578949</v>
      </c>
      <c r="O17" s="128">
        <f t="shared" si="4"/>
        <v>7.2154076705333858E-2</v>
      </c>
      <c r="P17" s="99">
        <v>13</v>
      </c>
      <c r="Q17" s="104">
        <f t="shared" si="5"/>
        <v>1484.0182648401826</v>
      </c>
      <c r="R17" s="104">
        <f t="shared" si="1"/>
        <v>86.75799086757992</v>
      </c>
      <c r="S17" s="129">
        <f t="shared" si="2"/>
        <v>59.360730593607308</v>
      </c>
      <c r="T17" s="98">
        <v>0.5</v>
      </c>
      <c r="U17" s="127">
        <f t="shared" si="3"/>
        <v>29.680365296803654</v>
      </c>
      <c r="V17" s="126"/>
      <c r="W17" s="72" t="s">
        <v>209</v>
      </c>
    </row>
    <row r="18" spans="1:26">
      <c r="A18" s="67"/>
      <c r="B18" s="68"/>
      <c r="C18" s="68"/>
      <c r="D18" s="68"/>
      <c r="E18" s="68"/>
      <c r="F18" s="68"/>
      <c r="I18" s="99"/>
      <c r="J18" s="125" t="s">
        <v>211</v>
      </c>
      <c r="K18" s="125">
        <v>2.8</v>
      </c>
      <c r="L18" s="134">
        <v>0</v>
      </c>
      <c r="M18" s="127">
        <v>2.2200000000000002</v>
      </c>
      <c r="N18" s="128">
        <f t="shared" si="0"/>
        <v>0.79285714285714293</v>
      </c>
      <c r="O18" s="128">
        <f t="shared" si="4"/>
        <v>1.2321696175833936E-2</v>
      </c>
      <c r="P18" s="99">
        <v>2.2200000000000002</v>
      </c>
      <c r="Q18" s="104">
        <f>M18*1000000000/8760/1000</f>
        <v>253.42465753424656</v>
      </c>
      <c r="R18" s="104">
        <f t="shared" si="1"/>
        <v>12.785388127853883</v>
      </c>
      <c r="S18" s="129">
        <f t="shared" si="2"/>
        <v>10.136986301369863</v>
      </c>
      <c r="T18" s="98">
        <v>0</v>
      </c>
      <c r="U18" s="127">
        <f t="shared" si="3"/>
        <v>0</v>
      </c>
      <c r="V18" s="126"/>
      <c r="W18" s="72" t="s">
        <v>209</v>
      </c>
    </row>
    <row r="19" spans="1:26">
      <c r="A19" s="67"/>
      <c r="B19" s="68"/>
      <c r="C19" s="68"/>
      <c r="D19" s="68"/>
      <c r="E19" s="68"/>
      <c r="F19" s="68"/>
      <c r="I19" s="99"/>
      <c r="J19" s="125" t="s">
        <v>212</v>
      </c>
      <c r="K19" s="125">
        <v>3.4</v>
      </c>
      <c r="L19" s="134">
        <v>0</v>
      </c>
      <c r="M19" s="127">
        <v>1.37</v>
      </c>
      <c r="N19" s="128">
        <f t="shared" si="0"/>
        <v>0.4029411764705883</v>
      </c>
      <c r="O19" s="128">
        <f t="shared" si="4"/>
        <v>7.6039296220236459E-3</v>
      </c>
      <c r="P19" s="99">
        <v>1.37</v>
      </c>
      <c r="Q19" s="104">
        <f t="shared" si="5"/>
        <v>156.39269406392694</v>
      </c>
      <c r="R19" s="104">
        <f t="shared" si="1"/>
        <v>15.52511415525114</v>
      </c>
      <c r="S19" s="129">
        <f t="shared" si="2"/>
        <v>6.2557077625570781</v>
      </c>
      <c r="T19" s="98">
        <v>0.5</v>
      </c>
      <c r="U19" s="127">
        <f t="shared" si="3"/>
        <v>3.127853881278539</v>
      </c>
      <c r="V19" s="126"/>
      <c r="W19" s="72" t="s">
        <v>209</v>
      </c>
    </row>
    <row r="20" spans="1:26">
      <c r="A20" s="67"/>
      <c r="B20" s="68"/>
      <c r="C20" s="68"/>
      <c r="D20" s="68"/>
      <c r="E20" s="68"/>
      <c r="F20" s="68"/>
      <c r="I20" s="125" t="s">
        <v>213</v>
      </c>
      <c r="J20" s="99"/>
      <c r="K20" s="99"/>
      <c r="L20" s="99"/>
      <c r="M20" s="127"/>
      <c r="N20" s="99"/>
      <c r="O20" s="128"/>
      <c r="P20" s="99"/>
      <c r="Q20" s="99"/>
      <c r="R20" s="99"/>
      <c r="S20" s="99"/>
      <c r="T20" s="99"/>
      <c r="U20" s="127"/>
      <c r="V20" s="126"/>
      <c r="W20" s="70"/>
    </row>
    <row r="21" spans="1:26">
      <c r="A21" s="67"/>
      <c r="B21" s="68"/>
      <c r="C21" s="68"/>
      <c r="D21" s="68"/>
      <c r="E21" s="68"/>
      <c r="F21" s="68"/>
      <c r="I21" s="99"/>
      <c r="J21" s="125" t="s">
        <v>214</v>
      </c>
      <c r="K21" s="125">
        <v>178</v>
      </c>
      <c r="L21" s="134">
        <v>0</v>
      </c>
      <c r="M21" s="127">
        <v>44.7</v>
      </c>
      <c r="N21" s="128">
        <f t="shared" si="0"/>
        <v>0.25112359550561797</v>
      </c>
      <c r="O21" s="128">
        <f>M21/$M$24</f>
        <v>0.24809901759449413</v>
      </c>
      <c r="P21" s="99">
        <v>44.7</v>
      </c>
      <c r="Q21" s="104">
        <f t="shared" si="5"/>
        <v>5102.7397260273974</v>
      </c>
      <c r="R21" s="104">
        <f t="shared" si="1"/>
        <v>812.78538812785382</v>
      </c>
      <c r="S21" s="129">
        <f t="shared" si="2"/>
        <v>204.10958904109589</v>
      </c>
      <c r="T21" s="98">
        <v>1</v>
      </c>
      <c r="U21" s="127">
        <f t="shared" si="3"/>
        <v>204.10958904109589</v>
      </c>
      <c r="V21" s="133" t="s">
        <v>215</v>
      </c>
      <c r="W21" s="72" t="s">
        <v>216</v>
      </c>
    </row>
    <row r="22" spans="1:26">
      <c r="A22" s="67"/>
      <c r="B22" s="68"/>
      <c r="C22" s="68"/>
      <c r="D22" s="68"/>
      <c r="E22" s="68"/>
      <c r="F22" s="68"/>
      <c r="I22" s="99"/>
      <c r="J22" s="125" t="s">
        <v>217</v>
      </c>
      <c r="K22" s="125">
        <v>22</v>
      </c>
      <c r="L22" s="134">
        <v>0</v>
      </c>
      <c r="M22" s="127">
        <v>12.6</v>
      </c>
      <c r="N22" s="128">
        <f t="shared" si="0"/>
        <v>0.57272727272727275</v>
      </c>
      <c r="O22" s="128">
        <f>M22/$M$24</f>
        <v>6.9933951268246655E-2</v>
      </c>
      <c r="P22" s="99">
        <v>12.6</v>
      </c>
      <c r="Q22" s="104">
        <f t="shared" si="5"/>
        <v>1438.3561643835617</v>
      </c>
      <c r="R22" s="104">
        <f t="shared" si="1"/>
        <v>100.4566210045662</v>
      </c>
      <c r="S22" s="129">
        <f t="shared" si="2"/>
        <v>57.534246575342472</v>
      </c>
      <c r="T22" s="98">
        <v>1</v>
      </c>
      <c r="U22" s="127">
        <f t="shared" si="3"/>
        <v>57.534246575342472</v>
      </c>
      <c r="V22" s="133" t="s">
        <v>215</v>
      </c>
      <c r="W22" s="72" t="s">
        <v>216</v>
      </c>
    </row>
    <row r="23" spans="1:26">
      <c r="A23" s="67"/>
      <c r="B23" s="68"/>
      <c r="C23" s="68"/>
      <c r="D23" s="68"/>
      <c r="E23" s="68"/>
      <c r="F23" s="68"/>
      <c r="I23" s="68"/>
      <c r="J23" s="68"/>
      <c r="K23" s="68"/>
      <c r="L23" s="68"/>
      <c r="M23" s="68"/>
      <c r="N23" s="68"/>
      <c r="O23" s="68"/>
      <c r="P23" s="68"/>
      <c r="Q23" s="68"/>
      <c r="R23" s="68"/>
      <c r="S23" s="68"/>
      <c r="T23" s="68"/>
      <c r="U23" s="68"/>
      <c r="V23" s="68"/>
      <c r="W23" s="70"/>
    </row>
    <row r="24" spans="1:26">
      <c r="A24" s="67"/>
      <c r="B24" s="68"/>
      <c r="C24" s="68"/>
      <c r="D24" s="68"/>
      <c r="E24" s="68"/>
      <c r="F24" s="68"/>
      <c r="I24" s="99"/>
      <c r="J24" s="125" t="s">
        <v>156</v>
      </c>
      <c r="K24" s="125">
        <f>SUM(K9:K22)</f>
        <v>396.3</v>
      </c>
      <c r="L24" s="125"/>
      <c r="M24" s="127">
        <f>SUM(M9:M22)</f>
        <v>180.17</v>
      </c>
      <c r="N24" s="127"/>
      <c r="O24" s="128">
        <f>M24/$M$24</f>
        <v>1</v>
      </c>
      <c r="P24" s="127">
        <f>SUM(P9:P22)</f>
        <v>212.22</v>
      </c>
      <c r="Q24" s="104">
        <f>M24*1000000000/8760/1000</f>
        <v>20567.351598173518</v>
      </c>
      <c r="R24" s="104">
        <f>SUM(R9:R22)</f>
        <v>1809.5890410958903</v>
      </c>
      <c r="S24" s="127">
        <f>Q24*$S$6</f>
        <v>822.69406392694077</v>
      </c>
      <c r="T24" s="135"/>
      <c r="U24" s="127">
        <f>SUM(U9:U22)</f>
        <v>458.69863013698631</v>
      </c>
      <c r="V24" s="126"/>
      <c r="W24" s="70"/>
    </row>
    <row r="25" spans="1:26">
      <c r="A25" s="67"/>
      <c r="B25" s="68"/>
      <c r="C25" s="68"/>
      <c r="D25" s="68"/>
      <c r="E25" s="68"/>
      <c r="F25" s="68"/>
    </row>
    <row r="26" spans="1:26">
      <c r="A26" s="67"/>
      <c r="B26" s="68"/>
      <c r="C26" s="68"/>
      <c r="D26" s="68"/>
      <c r="E26" s="68"/>
      <c r="F26" s="68"/>
    </row>
    <row r="27" spans="1:26">
      <c r="A27" s="67"/>
      <c r="B27" s="68"/>
      <c r="C27" s="68"/>
      <c r="D27" s="68"/>
      <c r="E27" s="68"/>
      <c r="F27" s="68"/>
    </row>
    <row r="28" spans="1:26">
      <c r="A28" s="67"/>
      <c r="B28" s="68"/>
      <c r="C28" s="68"/>
      <c r="D28" s="68"/>
      <c r="E28" s="68"/>
      <c r="F28" s="68"/>
      <c r="L28" s="74">
        <v>302</v>
      </c>
      <c r="M28" s="66">
        <v>13</v>
      </c>
      <c r="N28" s="75">
        <f>M28/L28</f>
        <v>4.3046357615894038E-2</v>
      </c>
      <c r="V28" s="76"/>
      <c r="W28" s="76"/>
      <c r="X28" s="76"/>
      <c r="Y28" s="76"/>
      <c r="Z28" s="76"/>
    </row>
    <row r="29" spans="1:26" ht="69.75" customHeight="1">
      <c r="A29" s="67"/>
      <c r="B29" s="68"/>
      <c r="C29" s="68"/>
      <c r="D29" s="68"/>
      <c r="E29" s="68"/>
      <c r="F29" s="68"/>
      <c r="J29" s="140" t="s">
        <v>218</v>
      </c>
      <c r="K29" s="139" t="s">
        <v>219</v>
      </c>
      <c r="L29" s="139" t="s">
        <v>220</v>
      </c>
      <c r="M29" s="139" t="s">
        <v>221</v>
      </c>
      <c r="R29" s="77"/>
      <c r="S29" s="77"/>
      <c r="T29" s="77"/>
      <c r="U29" s="77"/>
      <c r="V29" s="77"/>
    </row>
    <row r="30" spans="1:26">
      <c r="A30" s="67"/>
      <c r="C30" s="68"/>
      <c r="D30" s="68"/>
      <c r="E30" s="68"/>
      <c r="F30" s="68"/>
      <c r="J30" s="78" t="s">
        <v>222</v>
      </c>
      <c r="K30" s="79">
        <v>48</v>
      </c>
      <c r="L30" s="80">
        <f>K30/$L$28</f>
        <v>0.15894039735099338</v>
      </c>
      <c r="M30" s="81">
        <f>L30*$M$28</f>
        <v>2.0662251655629138</v>
      </c>
      <c r="N30" s="75">
        <f>K30/$K$34</f>
        <v>0.36336109008327028</v>
      </c>
      <c r="O30" s="66">
        <v>400</v>
      </c>
      <c r="P30" s="82">
        <v>0.3</v>
      </c>
      <c r="Q30" s="82"/>
      <c r="R30" s="83"/>
      <c r="S30" s="84"/>
      <c r="T30" s="83"/>
      <c r="U30" s="62"/>
      <c r="V30" s="85"/>
    </row>
    <row r="31" spans="1:26">
      <c r="A31" s="67"/>
      <c r="C31" s="68"/>
      <c r="D31" s="68"/>
      <c r="E31" s="68"/>
      <c r="F31" s="68"/>
      <c r="J31" s="78" t="s">
        <v>223</v>
      </c>
      <c r="K31" s="79">
        <v>46</v>
      </c>
      <c r="L31" s="80">
        <f>K31/$L$28</f>
        <v>0.15231788079470199</v>
      </c>
      <c r="M31" s="81">
        <f>L31*$M$28</f>
        <v>1.9801324503311259</v>
      </c>
      <c r="N31" s="75">
        <f>K31/$K$34</f>
        <v>0.34822104466313403</v>
      </c>
      <c r="O31" s="66">
        <v>250</v>
      </c>
      <c r="P31" s="82">
        <v>0.4</v>
      </c>
      <c r="Q31" s="82"/>
      <c r="V31" s="76"/>
      <c r="W31" s="62"/>
      <c r="X31" s="62"/>
      <c r="Y31" s="76"/>
      <c r="Z31" s="76"/>
    </row>
    <row r="32" spans="1:26">
      <c r="A32" s="67"/>
      <c r="C32" s="68"/>
      <c r="D32" s="68"/>
      <c r="E32" s="68"/>
      <c r="F32" s="68"/>
      <c r="J32" s="78" t="s">
        <v>224</v>
      </c>
      <c r="K32" s="79">
        <v>35</v>
      </c>
      <c r="L32" s="80">
        <f>K32/$L$28</f>
        <v>0.11589403973509933</v>
      </c>
      <c r="M32" s="81">
        <f>L32*$M$28</f>
        <v>1.5066225165562914</v>
      </c>
      <c r="N32" s="75">
        <f>K32/$K$34</f>
        <v>0.26495079485238454</v>
      </c>
      <c r="O32" s="66">
        <v>100</v>
      </c>
      <c r="P32" s="82">
        <v>0.3</v>
      </c>
      <c r="Q32" s="82"/>
    </row>
    <row r="33" spans="1:18">
      <c r="A33" s="67"/>
      <c r="C33" s="68"/>
      <c r="D33" s="68"/>
      <c r="E33" s="68"/>
      <c r="F33" s="68"/>
      <c r="J33" s="78" t="s">
        <v>139</v>
      </c>
      <c r="K33" s="73">
        <v>3.1</v>
      </c>
      <c r="L33" s="86">
        <f>K33/$L$28</f>
        <v>1.0264900662251657E-2</v>
      </c>
      <c r="M33" s="81">
        <f>L33*$M$28</f>
        <v>0.13344370860927154</v>
      </c>
      <c r="N33" s="75">
        <f>K33/$K$34</f>
        <v>2.3467070401211206E-2</v>
      </c>
      <c r="O33" s="485">
        <f>SUMPRODUCT(O30:O32,P30:P32)</f>
        <v>250</v>
      </c>
      <c r="P33" s="485"/>
      <c r="Q33" s="87">
        <f>300*K33*1000000*4140/8760/1000000</f>
        <v>439.52054794520546</v>
      </c>
    </row>
    <row r="34" spans="1:18">
      <c r="A34" s="67"/>
      <c r="C34" s="68"/>
      <c r="D34" s="68"/>
      <c r="E34" s="68"/>
      <c r="F34" s="68"/>
      <c r="J34" s="78" t="s">
        <v>156</v>
      </c>
      <c r="K34" s="88">
        <f>SUM(K30:K33)</f>
        <v>132.1</v>
      </c>
      <c r="M34" s="89">
        <f>SUM(M30:M33)</f>
        <v>5.6864238410596029</v>
      </c>
      <c r="N34" s="75">
        <f>K34/$K$34</f>
        <v>1</v>
      </c>
    </row>
    <row r="35" spans="1:18">
      <c r="A35" s="67"/>
      <c r="C35" s="68"/>
      <c r="D35" s="68"/>
      <c r="E35" s="68"/>
      <c r="F35" s="68"/>
    </row>
    <row r="36" spans="1:18">
      <c r="A36" s="67"/>
      <c r="C36" s="68"/>
      <c r="D36" s="68"/>
      <c r="E36" s="68"/>
      <c r="F36" s="68"/>
    </row>
    <row r="37" spans="1:18">
      <c r="A37" s="67"/>
      <c r="C37" s="68"/>
      <c r="D37" s="68"/>
      <c r="E37" s="68"/>
      <c r="F37" s="68"/>
    </row>
    <row r="38" spans="1:18">
      <c r="A38" s="67"/>
      <c r="C38" s="68"/>
      <c r="D38" s="68"/>
      <c r="E38" s="68"/>
      <c r="F38" s="68"/>
      <c r="J38" s="90" t="s">
        <v>225</v>
      </c>
      <c r="N38" s="66">
        <v>4380</v>
      </c>
      <c r="Q38" s="66">
        <v>4380</v>
      </c>
    </row>
    <row r="39" spans="1:18" ht="51" customHeight="1">
      <c r="A39" s="67"/>
      <c r="C39" s="68"/>
      <c r="D39" s="68"/>
      <c r="E39" s="68"/>
      <c r="F39" s="68"/>
      <c r="J39" s="139" t="s">
        <v>226</v>
      </c>
      <c r="K39" s="139" t="s">
        <v>219</v>
      </c>
      <c r="L39" s="139" t="s">
        <v>227</v>
      </c>
      <c r="M39" s="139" t="s">
        <v>228</v>
      </c>
      <c r="N39" s="139" t="s">
        <v>229</v>
      </c>
      <c r="O39" s="139" t="s">
        <v>230</v>
      </c>
      <c r="P39" s="139" t="s">
        <v>228</v>
      </c>
      <c r="Q39" s="139" t="s">
        <v>231</v>
      </c>
      <c r="R39" s="139" t="s">
        <v>232</v>
      </c>
    </row>
    <row r="40" spans="1:18">
      <c r="A40" s="67"/>
      <c r="C40" s="68"/>
      <c r="D40" s="68"/>
      <c r="E40" s="68"/>
      <c r="F40" s="68"/>
      <c r="J40" s="78" t="s">
        <v>233</v>
      </c>
      <c r="K40" s="88">
        <v>3.1</v>
      </c>
      <c r="L40" s="79">
        <v>150</v>
      </c>
      <c r="M40" s="91">
        <f t="shared" ref="M40:M45" si="6">K40*1000000*L40/1000</f>
        <v>465000</v>
      </c>
      <c r="N40" s="88">
        <f t="shared" ref="N40:N45" si="7">M40*$N$38/1000000000</f>
        <v>2.0367000000000002</v>
      </c>
      <c r="O40" s="79">
        <v>26</v>
      </c>
      <c r="P40" s="91">
        <f t="shared" ref="P40:P45" si="8">K40*1000000*O40/1000</f>
        <v>80600</v>
      </c>
      <c r="Q40" s="89">
        <f t="shared" ref="Q40:Q45" si="9">P40*$N$38/1000000000</f>
        <v>0.35302800000000001</v>
      </c>
      <c r="R40" s="92">
        <f t="shared" ref="R40:R46" si="10">1-(Q40/N40)</f>
        <v>0.82666666666666666</v>
      </c>
    </row>
    <row r="41" spans="1:18">
      <c r="A41" s="67"/>
      <c r="C41" s="68"/>
      <c r="D41" s="68"/>
      <c r="E41" s="68"/>
      <c r="F41" s="68"/>
      <c r="J41" s="78" t="s">
        <v>234</v>
      </c>
      <c r="K41" s="88">
        <v>9.9</v>
      </c>
      <c r="L41" s="79">
        <v>150</v>
      </c>
      <c r="M41" s="91">
        <f t="shared" si="6"/>
        <v>1485000</v>
      </c>
      <c r="N41" s="88">
        <f t="shared" si="7"/>
        <v>6.5042999999999997</v>
      </c>
      <c r="O41" s="79">
        <v>31</v>
      </c>
      <c r="P41" s="91">
        <f t="shared" si="8"/>
        <v>306900</v>
      </c>
      <c r="Q41" s="88">
        <f t="shared" si="9"/>
        <v>1.344222</v>
      </c>
      <c r="R41" s="92">
        <f t="shared" si="10"/>
        <v>0.79333333333333333</v>
      </c>
    </row>
    <row r="42" spans="1:18">
      <c r="A42" s="67"/>
      <c r="C42" s="68"/>
      <c r="D42" s="68"/>
      <c r="E42" s="68"/>
      <c r="F42" s="68"/>
      <c r="J42" s="78" t="s">
        <v>235</v>
      </c>
      <c r="K42" s="88">
        <v>7.5</v>
      </c>
      <c r="L42" s="79">
        <v>159</v>
      </c>
      <c r="M42" s="91">
        <f t="shared" si="6"/>
        <v>1192500</v>
      </c>
      <c r="N42" s="88">
        <f t="shared" si="7"/>
        <v>5.2231500000000004</v>
      </c>
      <c r="O42" s="79">
        <v>151</v>
      </c>
      <c r="P42" s="91">
        <f t="shared" si="8"/>
        <v>1132500</v>
      </c>
      <c r="Q42" s="88">
        <f t="shared" si="9"/>
        <v>4.96035</v>
      </c>
      <c r="R42" s="92">
        <f t="shared" si="10"/>
        <v>5.0314465408805131E-2</v>
      </c>
    </row>
    <row r="43" spans="1:18">
      <c r="A43" s="67"/>
      <c r="C43" s="68"/>
      <c r="D43" s="68"/>
      <c r="E43" s="68"/>
      <c r="F43" s="68"/>
      <c r="J43" s="78" t="s">
        <v>236</v>
      </c>
      <c r="K43" s="88">
        <v>17.7</v>
      </c>
      <c r="L43" s="79">
        <v>254</v>
      </c>
      <c r="M43" s="91">
        <f t="shared" si="6"/>
        <v>4495800</v>
      </c>
      <c r="N43" s="88">
        <f t="shared" si="7"/>
        <v>19.691604000000002</v>
      </c>
      <c r="O43" s="79">
        <v>108</v>
      </c>
      <c r="P43" s="91">
        <f t="shared" si="8"/>
        <v>1911600</v>
      </c>
      <c r="Q43" s="88">
        <f t="shared" si="9"/>
        <v>8.3728079999999991</v>
      </c>
      <c r="R43" s="92">
        <f t="shared" si="10"/>
        <v>0.5748031496062993</v>
      </c>
    </row>
    <row r="44" spans="1:18">
      <c r="A44" s="67"/>
      <c r="C44" s="68"/>
      <c r="D44" s="68"/>
      <c r="E44" s="68"/>
      <c r="F44" s="68"/>
      <c r="J44" s="78" t="s">
        <v>237</v>
      </c>
      <c r="K44" s="88">
        <v>38.299999999999997</v>
      </c>
      <c r="L44" s="79">
        <v>458</v>
      </c>
      <c r="M44" s="91">
        <f t="shared" si="6"/>
        <v>17541400</v>
      </c>
      <c r="N44" s="88">
        <f t="shared" si="7"/>
        <v>76.831332000000003</v>
      </c>
      <c r="O44" s="79">
        <v>327</v>
      </c>
      <c r="P44" s="91">
        <f t="shared" si="8"/>
        <v>12524100</v>
      </c>
      <c r="Q44" s="88">
        <f t="shared" si="9"/>
        <v>54.855558000000002</v>
      </c>
      <c r="R44" s="92">
        <f t="shared" si="10"/>
        <v>0.2860262008733625</v>
      </c>
    </row>
    <row r="45" spans="1:18">
      <c r="A45" s="67"/>
      <c r="B45" s="68"/>
      <c r="C45" s="68"/>
      <c r="D45" s="68"/>
      <c r="E45" s="68"/>
      <c r="F45" s="68"/>
      <c r="J45" s="78" t="s">
        <v>128</v>
      </c>
      <c r="K45" s="88">
        <v>54.7</v>
      </c>
      <c r="L45" s="79">
        <v>283</v>
      </c>
      <c r="M45" s="91">
        <f t="shared" si="6"/>
        <v>15480100</v>
      </c>
      <c r="N45" s="88">
        <f t="shared" si="7"/>
        <v>67.802837999999994</v>
      </c>
      <c r="O45" s="73">
        <v>276</v>
      </c>
      <c r="P45" s="91">
        <f t="shared" si="8"/>
        <v>15097200</v>
      </c>
      <c r="Q45" s="88">
        <f t="shared" si="9"/>
        <v>66.125736000000003</v>
      </c>
      <c r="R45" s="92">
        <f t="shared" si="10"/>
        <v>2.473498233215532E-2</v>
      </c>
    </row>
    <row r="46" spans="1:18">
      <c r="A46" s="67"/>
      <c r="B46" s="68"/>
      <c r="C46" s="68"/>
      <c r="D46" s="68"/>
      <c r="E46" s="68"/>
      <c r="F46" s="68"/>
      <c r="J46" s="78" t="s">
        <v>156</v>
      </c>
      <c r="K46" s="88">
        <f>SUM(K40:K45)</f>
        <v>131.19999999999999</v>
      </c>
      <c r="N46" s="88">
        <f>SUM(N40:N45)</f>
        <v>178.089924</v>
      </c>
      <c r="Q46" s="88">
        <f>SUM(Q40:Q45)</f>
        <v>136.01170200000001</v>
      </c>
      <c r="R46" s="92">
        <f t="shared" si="10"/>
        <v>0.23627514154029272</v>
      </c>
    </row>
    <row r="47" spans="1:18">
      <c r="A47" s="67"/>
      <c r="B47" s="68"/>
      <c r="C47" s="68"/>
      <c r="D47" s="68"/>
      <c r="E47" s="68"/>
      <c r="F47" s="68"/>
      <c r="Q47" s="87">
        <f>N46-Q46</f>
        <v>42.078221999999982</v>
      </c>
    </row>
    <row r="48" spans="1:18">
      <c r="A48" s="67"/>
      <c r="B48" s="68"/>
      <c r="C48" s="68"/>
      <c r="D48" s="68"/>
      <c r="E48" s="68"/>
      <c r="F48" s="68"/>
      <c r="Q48" s="75"/>
    </row>
    <row r="49" spans="1:18">
      <c r="A49" s="67"/>
      <c r="B49" s="68"/>
      <c r="C49" s="68"/>
      <c r="D49" s="68"/>
      <c r="E49" s="68"/>
      <c r="F49" s="68"/>
    </row>
    <row r="50" spans="1:18" ht="75" customHeight="1">
      <c r="A50" s="67"/>
      <c r="B50" s="68"/>
      <c r="C50" s="68"/>
      <c r="D50" s="68"/>
      <c r="E50" s="68"/>
      <c r="F50" s="68"/>
      <c r="J50" s="139" t="s">
        <v>238</v>
      </c>
      <c r="K50" s="139" t="s">
        <v>239</v>
      </c>
      <c r="L50" s="139" t="s">
        <v>240</v>
      </c>
      <c r="M50" s="139"/>
      <c r="N50" s="139"/>
      <c r="O50" s="139"/>
      <c r="P50" s="139"/>
      <c r="Q50" s="139"/>
      <c r="R50" s="139"/>
    </row>
    <row r="51" spans="1:18">
      <c r="A51" s="67"/>
      <c r="B51" s="68"/>
      <c r="C51" s="68"/>
      <c r="D51" s="68"/>
      <c r="E51" s="68"/>
      <c r="F51" s="68"/>
      <c r="J51" s="90" t="s">
        <v>241</v>
      </c>
      <c r="K51" s="66">
        <v>60</v>
      </c>
      <c r="L51" s="66">
        <v>58</v>
      </c>
    </row>
    <row r="52" spans="1:18">
      <c r="A52" s="67"/>
      <c r="B52" s="68"/>
      <c r="C52" s="68"/>
      <c r="D52" s="68"/>
      <c r="E52" s="68"/>
      <c r="F52" s="68"/>
    </row>
    <row r="53" spans="1:18">
      <c r="A53" s="67"/>
      <c r="B53" s="68"/>
      <c r="C53" s="68"/>
      <c r="D53" s="68"/>
      <c r="E53" s="68"/>
      <c r="F53" s="68"/>
    </row>
    <row r="54" spans="1:18">
      <c r="A54" s="67"/>
      <c r="B54" s="68"/>
      <c r="C54" s="68"/>
      <c r="D54" s="68"/>
      <c r="E54" s="68"/>
      <c r="F54" s="68"/>
    </row>
    <row r="55" spans="1:18">
      <c r="A55" s="67"/>
      <c r="B55" s="68"/>
      <c r="C55" s="68"/>
      <c r="D55" s="68"/>
      <c r="E55" s="68"/>
      <c r="F55" s="68"/>
    </row>
    <row r="56" spans="1:18" ht="89.25" customHeight="1">
      <c r="A56" s="67"/>
      <c r="B56" s="68"/>
      <c r="C56" s="68"/>
      <c r="D56" s="68"/>
      <c r="E56" s="68"/>
      <c r="F56" s="68"/>
      <c r="J56" s="139" t="s">
        <v>242</v>
      </c>
      <c r="K56" s="139" t="s">
        <v>243</v>
      </c>
      <c r="L56" s="139" t="s">
        <v>244</v>
      </c>
      <c r="M56" s="139" t="s">
        <v>245</v>
      </c>
      <c r="N56" s="139" t="s">
        <v>246</v>
      </c>
      <c r="O56" s="139"/>
      <c r="P56" s="139"/>
      <c r="Q56" s="139"/>
      <c r="R56" s="139"/>
    </row>
    <row r="57" spans="1:18">
      <c r="J57" s="94" t="s">
        <v>233</v>
      </c>
      <c r="K57" s="95">
        <v>0.22</v>
      </c>
      <c r="L57" s="79">
        <v>16</v>
      </c>
      <c r="M57" s="95">
        <v>0.04</v>
      </c>
    </row>
    <row r="58" spans="1:18" s="76" customFormat="1">
      <c r="A58" s="96"/>
      <c r="B58" s="97" t="s">
        <v>247</v>
      </c>
      <c r="J58" s="94" t="s">
        <v>234</v>
      </c>
      <c r="K58" s="98">
        <v>0</v>
      </c>
      <c r="L58" s="99"/>
      <c r="M58" s="99"/>
    </row>
    <row r="59" spans="1:18" s="76" customFormat="1">
      <c r="A59" s="96"/>
      <c r="C59" s="100"/>
      <c r="D59" s="101"/>
      <c r="E59" s="101"/>
      <c r="F59" s="101"/>
      <c r="G59" s="102"/>
      <c r="J59" s="94" t="s">
        <v>235</v>
      </c>
      <c r="K59" s="98">
        <v>0.35</v>
      </c>
      <c r="L59" s="99">
        <v>2</v>
      </c>
      <c r="M59" s="98">
        <v>0.02</v>
      </c>
    </row>
    <row r="60" spans="1:18" s="76" customFormat="1">
      <c r="A60" s="96"/>
      <c r="C60" s="100"/>
      <c r="D60" s="103"/>
      <c r="E60" s="103"/>
      <c r="F60" s="103"/>
      <c r="G60" s="102"/>
      <c r="J60" s="94" t="s">
        <v>236</v>
      </c>
      <c r="K60" s="98">
        <v>0.17</v>
      </c>
      <c r="L60" s="99">
        <v>12</v>
      </c>
      <c r="M60" s="98">
        <v>0.2</v>
      </c>
    </row>
    <row r="61" spans="1:18" s="76" customFormat="1">
      <c r="A61" s="96"/>
      <c r="B61" s="96"/>
      <c r="J61" s="94" t="s">
        <v>237</v>
      </c>
      <c r="K61" s="98">
        <v>0.06</v>
      </c>
      <c r="L61" s="99">
        <v>4.7</v>
      </c>
      <c r="M61" s="98">
        <v>0.05</v>
      </c>
    </row>
    <row r="62" spans="1:18" s="76" customFormat="1">
      <c r="A62" s="96"/>
      <c r="J62" s="94" t="s">
        <v>128</v>
      </c>
      <c r="K62" s="98">
        <v>0.47</v>
      </c>
      <c r="L62" s="99">
        <v>34</v>
      </c>
      <c r="M62" s="98">
        <v>0.59</v>
      </c>
    </row>
    <row r="63" spans="1:18" s="76" customFormat="1" ht="13.15" customHeight="1">
      <c r="A63" s="96"/>
      <c r="J63" s="97" t="s">
        <v>136</v>
      </c>
      <c r="K63" s="98">
        <v>0.05</v>
      </c>
      <c r="L63" s="99">
        <v>3.6</v>
      </c>
      <c r="M63" s="98">
        <v>0.1</v>
      </c>
    </row>
    <row r="64" spans="1:18" s="76" customFormat="1" ht="14.45" customHeight="1">
      <c r="A64" s="96"/>
      <c r="J64" s="94" t="s">
        <v>156</v>
      </c>
      <c r="K64" s="98">
        <f>SUM(K57:K63)</f>
        <v>1.32</v>
      </c>
      <c r="L64" s="104">
        <f>SUM(L57:L63)</f>
        <v>72.3</v>
      </c>
      <c r="M64" s="98">
        <f>SUM(M57:M63)</f>
        <v>0.99999999999999989</v>
      </c>
    </row>
    <row r="65" spans="1:1" s="76" customFormat="1">
      <c r="A65" s="96"/>
    </row>
    <row r="66" spans="1:1" s="76" customFormat="1">
      <c r="A66" s="96"/>
    </row>
    <row r="67" spans="1:1" s="76" customFormat="1">
      <c r="A67" s="96"/>
    </row>
    <row r="68" spans="1:1" s="76" customFormat="1">
      <c r="A68" s="96"/>
    </row>
    <row r="69" spans="1:1" s="76" customFormat="1">
      <c r="A69" s="96"/>
    </row>
    <row r="70" spans="1:1" s="76" customFormat="1">
      <c r="A70" s="96"/>
    </row>
    <row r="71" spans="1:1" s="76" customFormat="1">
      <c r="A71" s="96"/>
    </row>
    <row r="72" spans="1:1" s="76" customFormat="1">
      <c r="A72" s="96"/>
    </row>
    <row r="73" spans="1:1" s="76" customFormat="1">
      <c r="A73" s="96"/>
    </row>
    <row r="74" spans="1:1" s="76" customFormat="1">
      <c r="A74" s="96"/>
    </row>
    <row r="75" spans="1:1" s="76" customFormat="1">
      <c r="A75" s="96"/>
    </row>
    <row r="76" spans="1:1" s="76" customFormat="1">
      <c r="A76" s="96"/>
    </row>
    <row r="77" spans="1:1" s="76" customFormat="1">
      <c r="A77" s="96"/>
    </row>
    <row r="78" spans="1:1" s="76" customFormat="1">
      <c r="A78" s="96"/>
    </row>
    <row r="79" spans="1:1" s="76" customFormat="1">
      <c r="A79" s="96"/>
    </row>
    <row r="80" spans="1:1" s="76" customFormat="1">
      <c r="A80" s="96"/>
    </row>
    <row r="81" spans="1:2" s="76" customFormat="1">
      <c r="A81" s="96"/>
    </row>
    <row r="82" spans="1:2" s="76" customFormat="1">
      <c r="A82" s="96"/>
    </row>
    <row r="83" spans="1:2" s="76" customFormat="1">
      <c r="A83" s="96"/>
    </row>
    <row r="84" spans="1:2" s="76" customFormat="1">
      <c r="A84" s="96"/>
    </row>
    <row r="85" spans="1:2" s="76" customFormat="1">
      <c r="A85" s="96"/>
    </row>
    <row r="86" spans="1:2" s="76" customFormat="1">
      <c r="A86" s="96"/>
    </row>
    <row r="87" spans="1:2" s="76" customFormat="1">
      <c r="A87" s="96"/>
    </row>
    <row r="88" spans="1:2" s="76" customFormat="1">
      <c r="A88" s="96"/>
    </row>
    <row r="89" spans="1:2" s="76" customFormat="1">
      <c r="A89" s="96"/>
      <c r="B89" s="97" t="s">
        <v>248</v>
      </c>
    </row>
    <row r="90" spans="1:2" s="76" customFormat="1">
      <c r="A90" s="96"/>
      <c r="B90" s="105" t="s">
        <v>249</v>
      </c>
    </row>
    <row r="91" spans="1:2" s="76" customFormat="1">
      <c r="A91" s="96"/>
    </row>
    <row r="92" spans="1:2" s="76" customFormat="1">
      <c r="A92" s="96"/>
    </row>
    <row r="93" spans="1:2" s="76" customFormat="1">
      <c r="A93" s="96"/>
    </row>
    <row r="94" spans="1:2" s="76" customFormat="1">
      <c r="A94" s="96"/>
    </row>
    <row r="95" spans="1:2" s="76" customFormat="1">
      <c r="A95" s="96"/>
    </row>
    <row r="96" spans="1:2" s="76" customFormat="1">
      <c r="A96" s="96"/>
    </row>
    <row r="97" spans="1:1" s="76" customFormat="1">
      <c r="A97" s="96"/>
    </row>
    <row r="98" spans="1:1" s="76" customFormat="1">
      <c r="A98" s="96"/>
    </row>
    <row r="99" spans="1:1" s="76" customFormat="1">
      <c r="A99" s="96"/>
    </row>
    <row r="100" spans="1:1" s="76" customFormat="1">
      <c r="A100" s="96"/>
    </row>
    <row r="101" spans="1:1" s="76" customFormat="1">
      <c r="A101" s="96"/>
    </row>
    <row r="102" spans="1:1" s="76" customFormat="1">
      <c r="A102" s="96"/>
    </row>
    <row r="103" spans="1:1" s="76" customFormat="1">
      <c r="A103" s="96"/>
    </row>
    <row r="104" spans="1:1" s="76" customFormat="1">
      <c r="A104" s="96"/>
    </row>
    <row r="105" spans="1:1" s="76" customFormat="1">
      <c r="A105" s="96"/>
    </row>
    <row r="106" spans="1:1" s="76" customFormat="1">
      <c r="A106" s="96"/>
    </row>
    <row r="107" spans="1:1" s="76" customFormat="1">
      <c r="A107" s="96"/>
    </row>
    <row r="108" spans="1:1" s="76" customFormat="1">
      <c r="A108" s="96"/>
    </row>
    <row r="109" spans="1:1" s="76" customFormat="1">
      <c r="A109" s="96"/>
    </row>
    <row r="110" spans="1:1" s="76" customFormat="1">
      <c r="A110" s="96"/>
    </row>
    <row r="111" spans="1:1" s="76" customFormat="1">
      <c r="A111" s="96"/>
    </row>
    <row r="112" spans="1:1" s="76" customFormat="1">
      <c r="A112" s="96"/>
    </row>
    <row r="113" spans="1:13" s="76" customFormat="1">
      <c r="A113" s="96"/>
    </row>
    <row r="114" spans="1:13" s="76" customFormat="1">
      <c r="A114" s="96"/>
    </row>
    <row r="124" spans="1:13" ht="25.5">
      <c r="J124" s="59" t="s">
        <v>112</v>
      </c>
      <c r="K124" s="59" t="s">
        <v>250</v>
      </c>
      <c r="L124" s="59" t="s">
        <v>156</v>
      </c>
      <c r="M124" s="59" t="s">
        <v>251</v>
      </c>
    </row>
    <row r="125" spans="1:13">
      <c r="J125" s="90" t="s">
        <v>130</v>
      </c>
      <c r="K125" s="66">
        <v>12</v>
      </c>
      <c r="L125" s="66">
        <v>22</v>
      </c>
      <c r="M125" s="75">
        <f>K125/L125</f>
        <v>0.54545454545454541</v>
      </c>
    </row>
    <row r="126" spans="1:13">
      <c r="J126" s="90" t="s">
        <v>129</v>
      </c>
      <c r="K126" s="66">
        <v>5</v>
      </c>
      <c r="L126" s="66">
        <v>35</v>
      </c>
      <c r="M126" s="75">
        <f>K126/L126</f>
        <v>0.14285714285714285</v>
      </c>
    </row>
    <row r="127" spans="1:13">
      <c r="J127" s="90" t="s">
        <v>128</v>
      </c>
      <c r="K127" s="66">
        <v>34</v>
      </c>
      <c r="L127" s="66">
        <v>44</v>
      </c>
      <c r="M127" s="75">
        <f>K127/L127</f>
        <v>0.77272727272727271</v>
      </c>
    </row>
    <row r="159" spans="10:15" ht="51">
      <c r="J159" s="59" t="s">
        <v>252</v>
      </c>
      <c r="K159" s="59" t="s">
        <v>253</v>
      </c>
      <c r="L159" s="59" t="s">
        <v>254</v>
      </c>
      <c r="M159" s="59" t="s">
        <v>255</v>
      </c>
      <c r="N159" s="59" t="s">
        <v>256</v>
      </c>
      <c r="O159" s="59" t="s">
        <v>257</v>
      </c>
    </row>
    <row r="160" spans="10:15">
      <c r="J160" s="90" t="s">
        <v>128</v>
      </c>
      <c r="K160" s="66">
        <v>12</v>
      </c>
      <c r="L160" s="66">
        <v>6</v>
      </c>
      <c r="M160" s="66">
        <f>K160/(1/L160)</f>
        <v>72</v>
      </c>
      <c r="N160" s="82">
        <v>0.8</v>
      </c>
      <c r="O160" s="87">
        <f>M160*N160</f>
        <v>57.6</v>
      </c>
    </row>
    <row r="161" spans="10:15">
      <c r="J161" s="90" t="s">
        <v>129</v>
      </c>
      <c r="K161" s="66">
        <v>20</v>
      </c>
      <c r="L161" s="66">
        <v>4</v>
      </c>
      <c r="M161" s="66">
        <f>K161/(1/L161)</f>
        <v>80</v>
      </c>
      <c r="N161" s="82">
        <v>0.15</v>
      </c>
      <c r="O161" s="87">
        <f>M161*N161</f>
        <v>12</v>
      </c>
    </row>
    <row r="162" spans="10:15">
      <c r="J162" s="90" t="s">
        <v>130</v>
      </c>
      <c r="K162" s="66">
        <v>2</v>
      </c>
      <c r="L162" s="66">
        <v>8</v>
      </c>
      <c r="M162" s="66">
        <f>K162/(1/L162)</f>
        <v>16</v>
      </c>
      <c r="N162" s="82">
        <v>0.5</v>
      </c>
      <c r="O162" s="87">
        <f>M162*N162</f>
        <v>8</v>
      </c>
    </row>
    <row r="163" spans="10:15">
      <c r="M163" s="66">
        <f>SUM(M160:M162)</f>
        <v>168</v>
      </c>
      <c r="O163" s="87">
        <f>SUM(O160:O162)</f>
        <v>77.599999999999994</v>
      </c>
    </row>
    <row r="196" spans="10:15" ht="75.75" customHeight="1">
      <c r="J196" s="59" t="s">
        <v>258</v>
      </c>
      <c r="K196" s="59" t="s">
        <v>259</v>
      </c>
      <c r="L196" s="59" t="s">
        <v>260</v>
      </c>
      <c r="M196" s="59" t="s">
        <v>261</v>
      </c>
      <c r="N196" s="59"/>
      <c r="O196" s="59"/>
    </row>
    <row r="197" spans="10:15">
      <c r="J197" s="90" t="s">
        <v>262</v>
      </c>
      <c r="K197" s="66">
        <v>1.2</v>
      </c>
      <c r="L197" s="66">
        <v>20</v>
      </c>
      <c r="M197" s="87">
        <f>K197/(1/L197)</f>
        <v>23.999999999999996</v>
      </c>
    </row>
    <row r="198" spans="10:15">
      <c r="J198" s="90" t="s">
        <v>263</v>
      </c>
      <c r="K198" s="66">
        <v>0.9</v>
      </c>
      <c r="L198" s="66">
        <v>20</v>
      </c>
      <c r="M198" s="87">
        <f t="shared" ref="M198:M205" si="11">K198/(1/L198)</f>
        <v>18</v>
      </c>
    </row>
    <row r="199" spans="10:15">
      <c r="J199" s="90" t="s">
        <v>264</v>
      </c>
      <c r="K199" s="66">
        <v>0.15</v>
      </c>
      <c r="L199" s="66">
        <v>20</v>
      </c>
      <c r="M199" s="87">
        <f t="shared" si="11"/>
        <v>2.9999999999999996</v>
      </c>
    </row>
    <row r="200" spans="10:15">
      <c r="J200" s="90" t="s">
        <v>265</v>
      </c>
      <c r="K200" s="66">
        <v>0.02</v>
      </c>
      <c r="L200" s="66">
        <v>20</v>
      </c>
      <c r="M200" s="87">
        <f t="shared" si="11"/>
        <v>0.39999999999999997</v>
      </c>
    </row>
    <row r="201" spans="10:15">
      <c r="J201" s="90" t="s">
        <v>266</v>
      </c>
      <c r="K201" s="66">
        <v>1.2</v>
      </c>
      <c r="L201" s="66">
        <v>20</v>
      </c>
      <c r="M201" s="87">
        <f t="shared" si="11"/>
        <v>23.999999999999996</v>
      </c>
    </row>
    <row r="202" spans="10:15">
      <c r="J202" s="90" t="s">
        <v>267</v>
      </c>
      <c r="K202" s="66">
        <v>0.2</v>
      </c>
      <c r="L202" s="66">
        <v>20</v>
      </c>
      <c r="M202" s="87">
        <f t="shared" si="11"/>
        <v>4</v>
      </c>
    </row>
    <row r="203" spans="10:15">
      <c r="J203" s="90" t="s">
        <v>268</v>
      </c>
      <c r="K203" s="66">
        <v>1.3</v>
      </c>
      <c r="L203" s="66">
        <v>20</v>
      </c>
      <c r="M203" s="87">
        <f t="shared" si="11"/>
        <v>26</v>
      </c>
    </row>
    <row r="204" spans="10:15">
      <c r="J204" s="90" t="s">
        <v>269</v>
      </c>
      <c r="K204" s="66">
        <v>1.1000000000000001</v>
      </c>
      <c r="L204" s="66">
        <v>20</v>
      </c>
      <c r="M204" s="87">
        <f t="shared" si="11"/>
        <v>22</v>
      </c>
    </row>
    <row r="205" spans="10:15">
      <c r="J205" s="90" t="s">
        <v>270</v>
      </c>
      <c r="K205" s="66">
        <v>0.5</v>
      </c>
      <c r="L205" s="66">
        <v>20</v>
      </c>
      <c r="M205" s="87">
        <f t="shared" si="11"/>
        <v>10</v>
      </c>
    </row>
    <row r="206" spans="10:15">
      <c r="M206" s="87">
        <f>SUM(M197:M205)</f>
        <v>131.39999999999998</v>
      </c>
    </row>
  </sheetData>
  <mergeCells count="3">
    <mergeCell ref="I5:V5"/>
    <mergeCell ref="K6:Q6"/>
    <mergeCell ref="O33:P33"/>
  </mergeCells>
  <hyperlinks>
    <hyperlink ref="B90" r:id="rId1"/>
    <hyperlink ref="C3" r:id="rId2"/>
    <hyperlink ref="C4" r:id="rId3"/>
  </hyperlinks>
  <pageMargins left="0.75" right="0.75" top="1" bottom="1" header="0.5" footer="0.5"/>
  <pageSetup orientation="portrait" r:id="rId4"/>
  <headerFooter alignWithMargins="0"/>
  <drawing r:id="rId5"/>
  <legacyDrawing r:id="rId6"/>
</worksheet>
</file>

<file path=xl/worksheets/sheet2.xml><?xml version="1.0" encoding="utf-8"?>
<worksheet xmlns="http://schemas.openxmlformats.org/spreadsheetml/2006/main" xmlns:r="http://schemas.openxmlformats.org/officeDocument/2006/relationships">
  <sheetPr codeName="Sheet1"/>
  <dimension ref="A1:AB147"/>
  <sheetViews>
    <sheetView workbookViewId="0">
      <selection activeCell="A45" sqref="A45"/>
    </sheetView>
  </sheetViews>
  <sheetFormatPr defaultRowHeight="12.75"/>
  <cols>
    <col min="1" max="1" width="45.5703125" style="11" customWidth="1"/>
    <col min="2" max="2" width="18.7109375" style="11" customWidth="1"/>
    <col min="3" max="3" width="26" style="11" customWidth="1"/>
    <col min="4" max="4" width="16.28515625" style="11" customWidth="1"/>
    <col min="5" max="5" width="11" style="11" customWidth="1"/>
    <col min="6" max="9" width="9.140625" style="11"/>
    <col min="10" max="10" width="9.28515625" style="11" bestFit="1" customWidth="1"/>
    <col min="11" max="23" width="9.140625" style="11"/>
    <col min="24" max="24" width="10" style="11" customWidth="1"/>
    <col min="25" max="25" width="12" style="11" customWidth="1"/>
    <col min="26" max="26" width="9.140625" style="11"/>
    <col min="27" max="27" width="14.42578125" style="11" customWidth="1"/>
    <col min="28" max="255" width="9.140625" style="11"/>
    <col min="256" max="256" width="35" style="11" customWidth="1"/>
    <col min="257" max="257" width="16" style="11" customWidth="1"/>
    <col min="258" max="258" width="29.140625" style="11" customWidth="1"/>
    <col min="259" max="259" width="12.85546875" style="11" bestFit="1" customWidth="1"/>
    <col min="260" max="260" width="9.42578125" style="11" customWidth="1"/>
    <col min="261" max="511" width="9.140625" style="11"/>
    <col min="512" max="512" width="35" style="11" customWidth="1"/>
    <col min="513" max="513" width="16" style="11" customWidth="1"/>
    <col min="514" max="514" width="29.140625" style="11" customWidth="1"/>
    <col min="515" max="515" width="12.85546875" style="11" bestFit="1" customWidth="1"/>
    <col min="516" max="516" width="9.42578125" style="11" customWidth="1"/>
    <col min="517" max="767" width="9.140625" style="11"/>
    <col min="768" max="768" width="35" style="11" customWidth="1"/>
    <col min="769" max="769" width="16" style="11" customWidth="1"/>
    <col min="770" max="770" width="29.140625" style="11" customWidth="1"/>
    <col min="771" max="771" width="12.85546875" style="11" bestFit="1" customWidth="1"/>
    <col min="772" max="772" width="9.42578125" style="11" customWidth="1"/>
    <col min="773" max="1023" width="9.140625" style="11"/>
    <col min="1024" max="1024" width="35" style="11" customWidth="1"/>
    <col min="1025" max="1025" width="16" style="11" customWidth="1"/>
    <col min="1026" max="1026" width="29.140625" style="11" customWidth="1"/>
    <col min="1027" max="1027" width="12.85546875" style="11" bestFit="1" customWidth="1"/>
    <col min="1028" max="1028" width="9.42578125" style="11" customWidth="1"/>
    <col min="1029" max="1279" width="9.140625" style="11"/>
    <col min="1280" max="1280" width="35" style="11" customWidth="1"/>
    <col min="1281" max="1281" width="16" style="11" customWidth="1"/>
    <col min="1282" max="1282" width="29.140625" style="11" customWidth="1"/>
    <col min="1283" max="1283" width="12.85546875" style="11" bestFit="1" customWidth="1"/>
    <col min="1284" max="1284" width="9.42578125" style="11" customWidth="1"/>
    <col min="1285" max="1535" width="9.140625" style="11"/>
    <col min="1536" max="1536" width="35" style="11" customWidth="1"/>
    <col min="1537" max="1537" width="16" style="11" customWidth="1"/>
    <col min="1538" max="1538" width="29.140625" style="11" customWidth="1"/>
    <col min="1539" max="1539" width="12.85546875" style="11" bestFit="1" customWidth="1"/>
    <col min="1540" max="1540" width="9.42578125" style="11" customWidth="1"/>
    <col min="1541" max="1791" width="9.140625" style="11"/>
    <col min="1792" max="1792" width="35" style="11" customWidth="1"/>
    <col min="1793" max="1793" width="16" style="11" customWidth="1"/>
    <col min="1794" max="1794" width="29.140625" style="11" customWidth="1"/>
    <col min="1795" max="1795" width="12.85546875" style="11" bestFit="1" customWidth="1"/>
    <col min="1796" max="1796" width="9.42578125" style="11" customWidth="1"/>
    <col min="1797" max="2047" width="9.140625" style="11"/>
    <col min="2048" max="2048" width="35" style="11" customWidth="1"/>
    <col min="2049" max="2049" width="16" style="11" customWidth="1"/>
    <col min="2050" max="2050" width="29.140625" style="11" customWidth="1"/>
    <col min="2051" max="2051" width="12.85546875" style="11" bestFit="1" customWidth="1"/>
    <col min="2052" max="2052" width="9.42578125" style="11" customWidth="1"/>
    <col min="2053" max="2303" width="9.140625" style="11"/>
    <col min="2304" max="2304" width="35" style="11" customWidth="1"/>
    <col min="2305" max="2305" width="16" style="11" customWidth="1"/>
    <col min="2306" max="2306" width="29.140625" style="11" customWidth="1"/>
    <col min="2307" max="2307" width="12.85546875" style="11" bestFit="1" customWidth="1"/>
    <col min="2308" max="2308" width="9.42578125" style="11" customWidth="1"/>
    <col min="2309" max="2559" width="9.140625" style="11"/>
    <col min="2560" max="2560" width="35" style="11" customWidth="1"/>
    <col min="2561" max="2561" width="16" style="11" customWidth="1"/>
    <col min="2562" max="2562" width="29.140625" style="11" customWidth="1"/>
    <col min="2563" max="2563" width="12.85546875" style="11" bestFit="1" customWidth="1"/>
    <col min="2564" max="2564" width="9.42578125" style="11" customWidth="1"/>
    <col min="2565" max="2815" width="9.140625" style="11"/>
    <col min="2816" max="2816" width="35" style="11" customWidth="1"/>
    <col min="2817" max="2817" width="16" style="11" customWidth="1"/>
    <col min="2818" max="2818" width="29.140625" style="11" customWidth="1"/>
    <col min="2819" max="2819" width="12.85546875" style="11" bestFit="1" customWidth="1"/>
    <col min="2820" max="2820" width="9.42578125" style="11" customWidth="1"/>
    <col min="2821" max="3071" width="9.140625" style="11"/>
    <col min="3072" max="3072" width="35" style="11" customWidth="1"/>
    <col min="3073" max="3073" width="16" style="11" customWidth="1"/>
    <col min="3074" max="3074" width="29.140625" style="11" customWidth="1"/>
    <col min="3075" max="3075" width="12.85546875" style="11" bestFit="1" customWidth="1"/>
    <col min="3076" max="3076" width="9.42578125" style="11" customWidth="1"/>
    <col min="3077" max="3327" width="9.140625" style="11"/>
    <col min="3328" max="3328" width="35" style="11" customWidth="1"/>
    <col min="3329" max="3329" width="16" style="11" customWidth="1"/>
    <col min="3330" max="3330" width="29.140625" style="11" customWidth="1"/>
    <col min="3331" max="3331" width="12.85546875" style="11" bestFit="1" customWidth="1"/>
    <col min="3332" max="3332" width="9.42578125" style="11" customWidth="1"/>
    <col min="3333" max="3583" width="9.140625" style="11"/>
    <col min="3584" max="3584" width="35" style="11" customWidth="1"/>
    <col min="3585" max="3585" width="16" style="11" customWidth="1"/>
    <col min="3586" max="3586" width="29.140625" style="11" customWidth="1"/>
    <col min="3587" max="3587" width="12.85546875" style="11" bestFit="1" customWidth="1"/>
    <col min="3588" max="3588" width="9.42578125" style="11" customWidth="1"/>
    <col min="3589" max="3839" width="9.140625" style="11"/>
    <col min="3840" max="3840" width="35" style="11" customWidth="1"/>
    <col min="3841" max="3841" width="16" style="11" customWidth="1"/>
    <col min="3842" max="3842" width="29.140625" style="11" customWidth="1"/>
    <col min="3843" max="3843" width="12.85546875" style="11" bestFit="1" customWidth="1"/>
    <col min="3844" max="3844" width="9.42578125" style="11" customWidth="1"/>
    <col min="3845" max="4095" width="9.140625" style="11"/>
    <col min="4096" max="4096" width="35" style="11" customWidth="1"/>
    <col min="4097" max="4097" width="16" style="11" customWidth="1"/>
    <col min="4098" max="4098" width="29.140625" style="11" customWidth="1"/>
    <col min="4099" max="4099" width="12.85546875" style="11" bestFit="1" customWidth="1"/>
    <col min="4100" max="4100" width="9.42578125" style="11" customWidth="1"/>
    <col min="4101" max="4351" width="9.140625" style="11"/>
    <col min="4352" max="4352" width="35" style="11" customWidth="1"/>
    <col min="4353" max="4353" width="16" style="11" customWidth="1"/>
    <col min="4354" max="4354" width="29.140625" style="11" customWidth="1"/>
    <col min="4355" max="4355" width="12.85546875" style="11" bestFit="1" customWidth="1"/>
    <col min="4356" max="4356" width="9.42578125" style="11" customWidth="1"/>
    <col min="4357" max="4607" width="9.140625" style="11"/>
    <col min="4608" max="4608" width="35" style="11" customWidth="1"/>
    <col min="4609" max="4609" width="16" style="11" customWidth="1"/>
    <col min="4610" max="4610" width="29.140625" style="11" customWidth="1"/>
    <col min="4611" max="4611" width="12.85546875" style="11" bestFit="1" customWidth="1"/>
    <col min="4612" max="4612" width="9.42578125" style="11" customWidth="1"/>
    <col min="4613" max="4863" width="9.140625" style="11"/>
    <col min="4864" max="4864" width="35" style="11" customWidth="1"/>
    <col min="4865" max="4865" width="16" style="11" customWidth="1"/>
    <col min="4866" max="4866" width="29.140625" style="11" customWidth="1"/>
    <col min="4867" max="4867" width="12.85546875" style="11" bestFit="1" customWidth="1"/>
    <col min="4868" max="4868" width="9.42578125" style="11" customWidth="1"/>
    <col min="4869" max="5119" width="9.140625" style="11"/>
    <col min="5120" max="5120" width="35" style="11" customWidth="1"/>
    <col min="5121" max="5121" width="16" style="11" customWidth="1"/>
    <col min="5122" max="5122" width="29.140625" style="11" customWidth="1"/>
    <col min="5123" max="5123" width="12.85546875" style="11" bestFit="1" customWidth="1"/>
    <col min="5124" max="5124" width="9.42578125" style="11" customWidth="1"/>
    <col min="5125" max="5375" width="9.140625" style="11"/>
    <col min="5376" max="5376" width="35" style="11" customWidth="1"/>
    <col min="5377" max="5377" width="16" style="11" customWidth="1"/>
    <col min="5378" max="5378" width="29.140625" style="11" customWidth="1"/>
    <col min="5379" max="5379" width="12.85546875" style="11" bestFit="1" customWidth="1"/>
    <col min="5380" max="5380" width="9.42578125" style="11" customWidth="1"/>
    <col min="5381" max="5631" width="9.140625" style="11"/>
    <col min="5632" max="5632" width="35" style="11" customWidth="1"/>
    <col min="5633" max="5633" width="16" style="11" customWidth="1"/>
    <col min="5634" max="5634" width="29.140625" style="11" customWidth="1"/>
    <col min="5635" max="5635" width="12.85546875" style="11" bestFit="1" customWidth="1"/>
    <col min="5636" max="5636" width="9.42578125" style="11" customWidth="1"/>
    <col min="5637" max="5887" width="9.140625" style="11"/>
    <col min="5888" max="5888" width="35" style="11" customWidth="1"/>
    <col min="5889" max="5889" width="16" style="11" customWidth="1"/>
    <col min="5890" max="5890" width="29.140625" style="11" customWidth="1"/>
    <col min="5891" max="5891" width="12.85546875" style="11" bestFit="1" customWidth="1"/>
    <col min="5892" max="5892" width="9.42578125" style="11" customWidth="1"/>
    <col min="5893" max="6143" width="9.140625" style="11"/>
    <col min="6144" max="6144" width="35" style="11" customWidth="1"/>
    <col min="6145" max="6145" width="16" style="11" customWidth="1"/>
    <col min="6146" max="6146" width="29.140625" style="11" customWidth="1"/>
    <col min="6147" max="6147" width="12.85546875" style="11" bestFit="1" customWidth="1"/>
    <col min="6148" max="6148" width="9.42578125" style="11" customWidth="1"/>
    <col min="6149" max="6399" width="9.140625" style="11"/>
    <col min="6400" max="6400" width="35" style="11" customWidth="1"/>
    <col min="6401" max="6401" width="16" style="11" customWidth="1"/>
    <col min="6402" max="6402" width="29.140625" style="11" customWidth="1"/>
    <col min="6403" max="6403" width="12.85546875" style="11" bestFit="1" customWidth="1"/>
    <col min="6404" max="6404" width="9.42578125" style="11" customWidth="1"/>
    <col min="6405" max="6655" width="9.140625" style="11"/>
    <col min="6656" max="6656" width="35" style="11" customWidth="1"/>
    <col min="6657" max="6657" width="16" style="11" customWidth="1"/>
    <col min="6658" max="6658" width="29.140625" style="11" customWidth="1"/>
    <col min="6659" max="6659" width="12.85546875" style="11" bestFit="1" customWidth="1"/>
    <col min="6660" max="6660" width="9.42578125" style="11" customWidth="1"/>
    <col min="6661" max="6911" width="9.140625" style="11"/>
    <col min="6912" max="6912" width="35" style="11" customWidth="1"/>
    <col min="6913" max="6913" width="16" style="11" customWidth="1"/>
    <col min="6914" max="6914" width="29.140625" style="11" customWidth="1"/>
    <col min="6915" max="6915" width="12.85546875" style="11" bestFit="1" customWidth="1"/>
    <col min="6916" max="6916" width="9.42578125" style="11" customWidth="1"/>
    <col min="6917" max="7167" width="9.140625" style="11"/>
    <col min="7168" max="7168" width="35" style="11" customWidth="1"/>
    <col min="7169" max="7169" width="16" style="11" customWidth="1"/>
    <col min="7170" max="7170" width="29.140625" style="11" customWidth="1"/>
    <col min="7171" max="7171" width="12.85546875" style="11" bestFit="1" customWidth="1"/>
    <col min="7172" max="7172" width="9.42578125" style="11" customWidth="1"/>
    <col min="7173" max="7423" width="9.140625" style="11"/>
    <col min="7424" max="7424" width="35" style="11" customWidth="1"/>
    <col min="7425" max="7425" width="16" style="11" customWidth="1"/>
    <col min="7426" max="7426" width="29.140625" style="11" customWidth="1"/>
    <col min="7427" max="7427" width="12.85546875" style="11" bestFit="1" customWidth="1"/>
    <col min="7428" max="7428" width="9.42578125" style="11" customWidth="1"/>
    <col min="7429" max="7679" width="9.140625" style="11"/>
    <col min="7680" max="7680" width="35" style="11" customWidth="1"/>
    <col min="7681" max="7681" width="16" style="11" customWidth="1"/>
    <col min="7682" max="7682" width="29.140625" style="11" customWidth="1"/>
    <col min="7683" max="7683" width="12.85546875" style="11" bestFit="1" customWidth="1"/>
    <col min="7684" max="7684" width="9.42578125" style="11" customWidth="1"/>
    <col min="7685" max="7935" width="9.140625" style="11"/>
    <col min="7936" max="7936" width="35" style="11" customWidth="1"/>
    <col min="7937" max="7937" width="16" style="11" customWidth="1"/>
    <col min="7938" max="7938" width="29.140625" style="11" customWidth="1"/>
    <col min="7939" max="7939" width="12.85546875" style="11" bestFit="1" customWidth="1"/>
    <col min="7940" max="7940" width="9.42578125" style="11" customWidth="1"/>
    <col min="7941" max="8191" width="9.140625" style="11"/>
    <col min="8192" max="8192" width="35" style="11" customWidth="1"/>
    <col min="8193" max="8193" width="16" style="11" customWidth="1"/>
    <col min="8194" max="8194" width="29.140625" style="11" customWidth="1"/>
    <col min="8195" max="8195" width="12.85546875" style="11" bestFit="1" customWidth="1"/>
    <col min="8196" max="8196" width="9.42578125" style="11" customWidth="1"/>
    <col min="8197" max="8447" width="9.140625" style="11"/>
    <col min="8448" max="8448" width="35" style="11" customWidth="1"/>
    <col min="8449" max="8449" width="16" style="11" customWidth="1"/>
    <col min="8450" max="8450" width="29.140625" style="11" customWidth="1"/>
    <col min="8451" max="8451" width="12.85546875" style="11" bestFit="1" customWidth="1"/>
    <col min="8452" max="8452" width="9.42578125" style="11" customWidth="1"/>
    <col min="8453" max="8703" width="9.140625" style="11"/>
    <col min="8704" max="8704" width="35" style="11" customWidth="1"/>
    <col min="8705" max="8705" width="16" style="11" customWidth="1"/>
    <col min="8706" max="8706" width="29.140625" style="11" customWidth="1"/>
    <col min="8707" max="8707" width="12.85546875" style="11" bestFit="1" customWidth="1"/>
    <col min="8708" max="8708" width="9.42578125" style="11" customWidth="1"/>
    <col min="8709" max="8959" width="9.140625" style="11"/>
    <col min="8960" max="8960" width="35" style="11" customWidth="1"/>
    <col min="8961" max="8961" width="16" style="11" customWidth="1"/>
    <col min="8962" max="8962" width="29.140625" style="11" customWidth="1"/>
    <col min="8963" max="8963" width="12.85546875" style="11" bestFit="1" customWidth="1"/>
    <col min="8964" max="8964" width="9.42578125" style="11" customWidth="1"/>
    <col min="8965" max="9215" width="9.140625" style="11"/>
    <col min="9216" max="9216" width="35" style="11" customWidth="1"/>
    <col min="9217" max="9217" width="16" style="11" customWidth="1"/>
    <col min="9218" max="9218" width="29.140625" style="11" customWidth="1"/>
    <col min="9219" max="9219" width="12.85546875" style="11" bestFit="1" customWidth="1"/>
    <col min="9220" max="9220" width="9.42578125" style="11" customWidth="1"/>
    <col min="9221" max="9471" width="9.140625" style="11"/>
    <col min="9472" max="9472" width="35" style="11" customWidth="1"/>
    <col min="9473" max="9473" width="16" style="11" customWidth="1"/>
    <col min="9474" max="9474" width="29.140625" style="11" customWidth="1"/>
    <col min="9475" max="9475" width="12.85546875" style="11" bestFit="1" customWidth="1"/>
    <col min="9476" max="9476" width="9.42578125" style="11" customWidth="1"/>
    <col min="9477" max="9727" width="9.140625" style="11"/>
    <col min="9728" max="9728" width="35" style="11" customWidth="1"/>
    <col min="9729" max="9729" width="16" style="11" customWidth="1"/>
    <col min="9730" max="9730" width="29.140625" style="11" customWidth="1"/>
    <col min="9731" max="9731" width="12.85546875" style="11" bestFit="1" customWidth="1"/>
    <col min="9732" max="9732" width="9.42578125" style="11" customWidth="1"/>
    <col min="9733" max="9983" width="9.140625" style="11"/>
    <col min="9984" max="9984" width="35" style="11" customWidth="1"/>
    <col min="9985" max="9985" width="16" style="11" customWidth="1"/>
    <col min="9986" max="9986" width="29.140625" style="11" customWidth="1"/>
    <col min="9987" max="9987" width="12.85546875" style="11" bestFit="1" customWidth="1"/>
    <col min="9988" max="9988" width="9.42578125" style="11" customWidth="1"/>
    <col min="9989" max="10239" width="9.140625" style="11"/>
    <col min="10240" max="10240" width="35" style="11" customWidth="1"/>
    <col min="10241" max="10241" width="16" style="11" customWidth="1"/>
    <col min="10242" max="10242" width="29.140625" style="11" customWidth="1"/>
    <col min="10243" max="10243" width="12.85546875" style="11" bestFit="1" customWidth="1"/>
    <col min="10244" max="10244" width="9.42578125" style="11" customWidth="1"/>
    <col min="10245" max="10495" width="9.140625" style="11"/>
    <col min="10496" max="10496" width="35" style="11" customWidth="1"/>
    <col min="10497" max="10497" width="16" style="11" customWidth="1"/>
    <col min="10498" max="10498" width="29.140625" style="11" customWidth="1"/>
    <col min="10499" max="10499" width="12.85546875" style="11" bestFit="1" customWidth="1"/>
    <col min="10500" max="10500" width="9.42578125" style="11" customWidth="1"/>
    <col min="10501" max="10751" width="9.140625" style="11"/>
    <col min="10752" max="10752" width="35" style="11" customWidth="1"/>
    <col min="10753" max="10753" width="16" style="11" customWidth="1"/>
    <col min="10754" max="10754" width="29.140625" style="11" customWidth="1"/>
    <col min="10755" max="10755" width="12.85546875" style="11" bestFit="1" customWidth="1"/>
    <col min="10756" max="10756" width="9.42578125" style="11" customWidth="1"/>
    <col min="10757" max="11007" width="9.140625" style="11"/>
    <col min="11008" max="11008" width="35" style="11" customWidth="1"/>
    <col min="11009" max="11009" width="16" style="11" customWidth="1"/>
    <col min="11010" max="11010" width="29.140625" style="11" customWidth="1"/>
    <col min="11011" max="11011" width="12.85546875" style="11" bestFit="1" customWidth="1"/>
    <col min="11012" max="11012" width="9.42578125" style="11" customWidth="1"/>
    <col min="11013" max="11263" width="9.140625" style="11"/>
    <col min="11264" max="11264" width="35" style="11" customWidth="1"/>
    <col min="11265" max="11265" width="16" style="11" customWidth="1"/>
    <col min="11266" max="11266" width="29.140625" style="11" customWidth="1"/>
    <col min="11267" max="11267" width="12.85546875" style="11" bestFit="1" customWidth="1"/>
    <col min="11268" max="11268" width="9.42578125" style="11" customWidth="1"/>
    <col min="11269" max="11519" width="9.140625" style="11"/>
    <col min="11520" max="11520" width="35" style="11" customWidth="1"/>
    <col min="11521" max="11521" width="16" style="11" customWidth="1"/>
    <col min="11522" max="11522" width="29.140625" style="11" customWidth="1"/>
    <col min="11523" max="11523" width="12.85546875" style="11" bestFit="1" customWidth="1"/>
    <col min="11524" max="11524" width="9.42578125" style="11" customWidth="1"/>
    <col min="11525" max="11775" width="9.140625" style="11"/>
    <col min="11776" max="11776" width="35" style="11" customWidth="1"/>
    <col min="11777" max="11777" width="16" style="11" customWidth="1"/>
    <col min="11778" max="11778" width="29.140625" style="11" customWidth="1"/>
    <col min="11779" max="11779" width="12.85546875" style="11" bestFit="1" customWidth="1"/>
    <col min="11780" max="11780" width="9.42578125" style="11" customWidth="1"/>
    <col min="11781" max="12031" width="9.140625" style="11"/>
    <col min="12032" max="12032" width="35" style="11" customWidth="1"/>
    <col min="12033" max="12033" width="16" style="11" customWidth="1"/>
    <col min="12034" max="12034" width="29.140625" style="11" customWidth="1"/>
    <col min="12035" max="12035" width="12.85546875" style="11" bestFit="1" customWidth="1"/>
    <col min="12036" max="12036" width="9.42578125" style="11" customWidth="1"/>
    <col min="12037" max="12287" width="9.140625" style="11"/>
    <col min="12288" max="12288" width="35" style="11" customWidth="1"/>
    <col min="12289" max="12289" width="16" style="11" customWidth="1"/>
    <col min="12290" max="12290" width="29.140625" style="11" customWidth="1"/>
    <col min="12291" max="12291" width="12.85546875" style="11" bestFit="1" customWidth="1"/>
    <col min="12292" max="12292" width="9.42578125" style="11" customWidth="1"/>
    <col min="12293" max="12543" width="9.140625" style="11"/>
    <col min="12544" max="12544" width="35" style="11" customWidth="1"/>
    <col min="12545" max="12545" width="16" style="11" customWidth="1"/>
    <col min="12546" max="12546" width="29.140625" style="11" customWidth="1"/>
    <col min="12547" max="12547" width="12.85546875" style="11" bestFit="1" customWidth="1"/>
    <col min="12548" max="12548" width="9.42578125" style="11" customWidth="1"/>
    <col min="12549" max="12799" width="9.140625" style="11"/>
    <col min="12800" max="12800" width="35" style="11" customWidth="1"/>
    <col min="12801" max="12801" width="16" style="11" customWidth="1"/>
    <col min="12802" max="12802" width="29.140625" style="11" customWidth="1"/>
    <col min="12803" max="12803" width="12.85546875" style="11" bestFit="1" customWidth="1"/>
    <col min="12804" max="12804" width="9.42578125" style="11" customWidth="1"/>
    <col min="12805" max="13055" width="9.140625" style="11"/>
    <col min="13056" max="13056" width="35" style="11" customWidth="1"/>
    <col min="13057" max="13057" width="16" style="11" customWidth="1"/>
    <col min="13058" max="13058" width="29.140625" style="11" customWidth="1"/>
    <col min="13059" max="13059" width="12.85546875" style="11" bestFit="1" customWidth="1"/>
    <col min="13060" max="13060" width="9.42578125" style="11" customWidth="1"/>
    <col min="13061" max="13311" width="9.140625" style="11"/>
    <col min="13312" max="13312" width="35" style="11" customWidth="1"/>
    <col min="13313" max="13313" width="16" style="11" customWidth="1"/>
    <col min="13314" max="13314" width="29.140625" style="11" customWidth="1"/>
    <col min="13315" max="13315" width="12.85546875" style="11" bestFit="1" customWidth="1"/>
    <col min="13316" max="13316" width="9.42578125" style="11" customWidth="1"/>
    <col min="13317" max="13567" width="9.140625" style="11"/>
    <col min="13568" max="13568" width="35" style="11" customWidth="1"/>
    <col min="13569" max="13569" width="16" style="11" customWidth="1"/>
    <col min="13570" max="13570" width="29.140625" style="11" customWidth="1"/>
    <col min="13571" max="13571" width="12.85546875" style="11" bestFit="1" customWidth="1"/>
    <col min="13572" max="13572" width="9.42578125" style="11" customWidth="1"/>
    <col min="13573" max="13823" width="9.140625" style="11"/>
    <col min="13824" max="13824" width="35" style="11" customWidth="1"/>
    <col min="13825" max="13825" width="16" style="11" customWidth="1"/>
    <col min="13826" max="13826" width="29.140625" style="11" customWidth="1"/>
    <col min="13827" max="13827" width="12.85546875" style="11" bestFit="1" customWidth="1"/>
    <col min="13828" max="13828" width="9.42578125" style="11" customWidth="1"/>
    <col min="13829" max="14079" width="9.140625" style="11"/>
    <col min="14080" max="14080" width="35" style="11" customWidth="1"/>
    <col min="14081" max="14081" width="16" style="11" customWidth="1"/>
    <col min="14082" max="14082" width="29.140625" style="11" customWidth="1"/>
    <col min="14083" max="14083" width="12.85546875" style="11" bestFit="1" customWidth="1"/>
    <col min="14084" max="14084" width="9.42578125" style="11" customWidth="1"/>
    <col min="14085" max="14335" width="9.140625" style="11"/>
    <col min="14336" max="14336" width="35" style="11" customWidth="1"/>
    <col min="14337" max="14337" width="16" style="11" customWidth="1"/>
    <col min="14338" max="14338" width="29.140625" style="11" customWidth="1"/>
    <col min="14339" max="14339" width="12.85546875" style="11" bestFit="1" customWidth="1"/>
    <col min="14340" max="14340" width="9.42578125" style="11" customWidth="1"/>
    <col min="14341" max="14591" width="9.140625" style="11"/>
    <col min="14592" max="14592" width="35" style="11" customWidth="1"/>
    <col min="14593" max="14593" width="16" style="11" customWidth="1"/>
    <col min="14594" max="14594" width="29.140625" style="11" customWidth="1"/>
    <col min="14595" max="14595" width="12.85546875" style="11" bestFit="1" customWidth="1"/>
    <col min="14596" max="14596" width="9.42578125" style="11" customWidth="1"/>
    <col min="14597" max="14847" width="9.140625" style="11"/>
    <col min="14848" max="14848" width="35" style="11" customWidth="1"/>
    <col min="14849" max="14849" width="16" style="11" customWidth="1"/>
    <col min="14850" max="14850" width="29.140625" style="11" customWidth="1"/>
    <col min="14851" max="14851" width="12.85546875" style="11" bestFit="1" customWidth="1"/>
    <col min="14852" max="14852" width="9.42578125" style="11" customWidth="1"/>
    <col min="14853" max="15103" width="9.140625" style="11"/>
    <col min="15104" max="15104" width="35" style="11" customWidth="1"/>
    <col min="15105" max="15105" width="16" style="11" customWidth="1"/>
    <col min="15106" max="15106" width="29.140625" style="11" customWidth="1"/>
    <col min="15107" max="15107" width="12.85546875" style="11" bestFit="1" customWidth="1"/>
    <col min="15108" max="15108" width="9.42578125" style="11" customWidth="1"/>
    <col min="15109" max="15359" width="9.140625" style="11"/>
    <col min="15360" max="15360" width="35" style="11" customWidth="1"/>
    <col min="15361" max="15361" width="16" style="11" customWidth="1"/>
    <col min="15362" max="15362" width="29.140625" style="11" customWidth="1"/>
    <col min="15363" max="15363" width="12.85546875" style="11" bestFit="1" customWidth="1"/>
    <col min="15364" max="15364" width="9.42578125" style="11" customWidth="1"/>
    <col min="15365" max="15615" width="9.140625" style="11"/>
    <col min="15616" max="15616" width="35" style="11" customWidth="1"/>
    <col min="15617" max="15617" width="16" style="11" customWidth="1"/>
    <col min="15618" max="15618" width="29.140625" style="11" customWidth="1"/>
    <col min="15619" max="15619" width="12.85546875" style="11" bestFit="1" customWidth="1"/>
    <col min="15620" max="15620" width="9.42578125" style="11" customWidth="1"/>
    <col min="15621" max="15871" width="9.140625" style="11"/>
    <col min="15872" max="15872" width="35" style="11" customWidth="1"/>
    <col min="15873" max="15873" width="16" style="11" customWidth="1"/>
    <col min="15874" max="15874" width="29.140625" style="11" customWidth="1"/>
    <col min="15875" max="15875" width="12.85546875" style="11" bestFit="1" customWidth="1"/>
    <col min="15876" max="15876" width="9.42578125" style="11" customWidth="1"/>
    <col min="15877" max="16127" width="9.140625" style="11"/>
    <col min="16128" max="16128" width="35" style="11" customWidth="1"/>
    <col min="16129" max="16129" width="16" style="11" customWidth="1"/>
    <col min="16130" max="16130" width="29.140625" style="11" customWidth="1"/>
    <col min="16131" max="16131" width="12.85546875" style="11" bestFit="1" customWidth="1"/>
    <col min="16132" max="16132" width="9.42578125" style="11" customWidth="1"/>
    <col min="16133" max="16384" width="9.140625" style="11"/>
  </cols>
  <sheetData>
    <row r="1" spans="1:25" ht="12.75" customHeight="1">
      <c r="A1" s="250" t="s">
        <v>676</v>
      </c>
      <c r="B1" s="437" t="s">
        <v>1003</v>
      </c>
      <c r="C1" s="438"/>
      <c r="D1" s="438"/>
      <c r="E1" s="438"/>
      <c r="F1" s="438"/>
      <c r="G1" s="438"/>
      <c r="H1" s="438"/>
      <c r="I1" s="438"/>
      <c r="J1" s="438"/>
      <c r="K1" s="438"/>
      <c r="L1" s="438"/>
      <c r="M1" s="438"/>
      <c r="N1" s="438"/>
      <c r="O1" s="438"/>
      <c r="P1" s="438"/>
      <c r="Q1" s="438"/>
      <c r="R1" s="438"/>
      <c r="S1" s="439"/>
      <c r="T1" s="243"/>
      <c r="U1" s="243"/>
      <c r="V1" s="243"/>
      <c r="W1" s="243"/>
    </row>
    <row r="2" spans="1:25" ht="12.75" customHeight="1">
      <c r="A2" s="251"/>
      <c r="B2" s="440"/>
      <c r="C2" s="441"/>
      <c r="D2" s="441"/>
      <c r="E2" s="441"/>
      <c r="F2" s="441"/>
      <c r="G2" s="441"/>
      <c r="H2" s="441"/>
      <c r="I2" s="441"/>
      <c r="J2" s="441"/>
      <c r="K2" s="441"/>
      <c r="L2" s="441"/>
      <c r="M2" s="441"/>
      <c r="N2" s="441"/>
      <c r="O2" s="441"/>
      <c r="P2" s="441"/>
      <c r="Q2" s="441"/>
      <c r="R2" s="441"/>
      <c r="S2" s="442"/>
      <c r="T2" s="244"/>
      <c r="U2" s="244"/>
      <c r="V2" s="244"/>
      <c r="W2" s="244"/>
    </row>
    <row r="3" spans="1:25">
      <c r="A3" s="251"/>
      <c r="B3" s="440"/>
      <c r="C3" s="441"/>
      <c r="D3" s="441"/>
      <c r="E3" s="441"/>
      <c r="F3" s="441"/>
      <c r="G3" s="441"/>
      <c r="H3" s="441"/>
      <c r="I3" s="441"/>
      <c r="J3" s="441"/>
      <c r="K3" s="441"/>
      <c r="L3" s="441"/>
      <c r="M3" s="441"/>
      <c r="N3" s="441"/>
      <c r="O3" s="441"/>
      <c r="P3" s="441"/>
      <c r="Q3" s="441"/>
      <c r="R3" s="441"/>
      <c r="S3" s="442"/>
      <c r="T3" s="244"/>
      <c r="U3" s="244"/>
      <c r="V3" s="244"/>
      <c r="W3" s="244"/>
    </row>
    <row r="4" spans="1:25">
      <c r="A4" s="251"/>
      <c r="B4" s="440"/>
      <c r="C4" s="441"/>
      <c r="D4" s="441"/>
      <c r="E4" s="441"/>
      <c r="F4" s="441"/>
      <c r="G4" s="441"/>
      <c r="H4" s="441"/>
      <c r="I4" s="441"/>
      <c r="J4" s="441"/>
      <c r="K4" s="441"/>
      <c r="L4" s="441"/>
      <c r="M4" s="441"/>
      <c r="N4" s="441"/>
      <c r="O4" s="441"/>
      <c r="P4" s="441"/>
      <c r="Q4" s="441"/>
      <c r="R4" s="441"/>
      <c r="S4" s="442"/>
      <c r="T4" s="244"/>
      <c r="U4" s="244"/>
      <c r="V4" s="244"/>
      <c r="W4" s="244"/>
    </row>
    <row r="5" spans="1:25">
      <c r="A5" s="252" t="s">
        <v>677</v>
      </c>
      <c r="B5" s="440"/>
      <c r="C5" s="441"/>
      <c r="D5" s="443"/>
      <c r="E5" s="443"/>
      <c r="F5" s="443"/>
      <c r="G5" s="443"/>
      <c r="H5" s="443"/>
      <c r="I5" s="443"/>
      <c r="J5" s="443"/>
      <c r="K5" s="443"/>
      <c r="L5" s="443"/>
      <c r="M5" s="443"/>
      <c r="N5" s="443"/>
      <c r="O5" s="443"/>
      <c r="P5" s="443"/>
      <c r="Q5" s="443"/>
      <c r="R5" s="443"/>
      <c r="S5" s="444"/>
      <c r="T5" s="244"/>
      <c r="U5" s="244"/>
      <c r="V5" s="244"/>
      <c r="W5" s="244"/>
    </row>
    <row r="6" spans="1:25">
      <c r="A6" s="253" t="s">
        <v>731</v>
      </c>
      <c r="B6" s="254"/>
      <c r="C6" s="254"/>
      <c r="D6" s="255"/>
      <c r="E6" s="256"/>
      <c r="F6" s="256"/>
      <c r="G6" s="256"/>
      <c r="H6" s="256"/>
      <c r="I6" s="256"/>
      <c r="J6" s="256"/>
      <c r="K6" s="256"/>
      <c r="L6" s="256"/>
      <c r="M6" s="256"/>
      <c r="N6" s="256"/>
      <c r="O6" s="256"/>
      <c r="P6" s="256"/>
      <c r="Q6" s="256"/>
      <c r="R6" s="256"/>
      <c r="S6" s="257"/>
      <c r="T6" s="244"/>
      <c r="U6" s="244"/>
      <c r="V6" s="244"/>
      <c r="W6" s="244"/>
    </row>
    <row r="7" spans="1:25">
      <c r="B7" s="258" t="s">
        <v>732</v>
      </c>
      <c r="C7" s="259" t="s">
        <v>37</v>
      </c>
      <c r="D7" s="259" t="s">
        <v>37</v>
      </c>
    </row>
    <row r="8" spans="1:25">
      <c r="B8" s="258" t="s">
        <v>678</v>
      </c>
      <c r="C8" s="259" t="str">
        <f>[2]MLIST!$D$68</f>
        <v>Street and Roadway Lighting-New</v>
      </c>
      <c r="D8" s="259" t="s">
        <v>734</v>
      </c>
      <c r="E8" s="260"/>
    </row>
    <row r="9" spans="1:25">
      <c r="B9" s="261" t="s">
        <v>679</v>
      </c>
      <c r="C9" s="259">
        <f>[2]FILES!$H$4</f>
        <v>2035</v>
      </c>
      <c r="D9" s="259"/>
      <c r="E9" s="262"/>
    </row>
    <row r="10" spans="1:25">
      <c r="E10" s="11">
        <v>1</v>
      </c>
      <c r="F10" s="11">
        <f>E10+1</f>
        <v>2</v>
      </c>
      <c r="G10" s="11">
        <f t="shared" ref="G10:X11" si="0">F10+1</f>
        <v>3</v>
      </c>
      <c r="H10" s="11">
        <f t="shared" si="0"/>
        <v>4</v>
      </c>
      <c r="I10" s="11">
        <f t="shared" si="0"/>
        <v>5</v>
      </c>
      <c r="J10" s="11">
        <f t="shared" si="0"/>
        <v>6</v>
      </c>
      <c r="K10" s="11">
        <f t="shared" si="0"/>
        <v>7</v>
      </c>
      <c r="L10" s="11">
        <f t="shared" si="0"/>
        <v>8</v>
      </c>
      <c r="M10" s="11">
        <f t="shared" si="0"/>
        <v>9</v>
      </c>
      <c r="N10" s="11">
        <f t="shared" si="0"/>
        <v>10</v>
      </c>
      <c r="O10" s="11">
        <f t="shared" si="0"/>
        <v>11</v>
      </c>
      <c r="P10" s="11">
        <f t="shared" si="0"/>
        <v>12</v>
      </c>
      <c r="Q10" s="11">
        <f t="shared" si="0"/>
        <v>13</v>
      </c>
      <c r="R10" s="11">
        <f t="shared" si="0"/>
        <v>14</v>
      </c>
      <c r="S10" s="11">
        <f t="shared" si="0"/>
        <v>15</v>
      </c>
      <c r="T10" s="11">
        <f t="shared" si="0"/>
        <v>16</v>
      </c>
      <c r="U10" s="11">
        <f t="shared" si="0"/>
        <v>17</v>
      </c>
      <c r="V10" s="11">
        <f t="shared" si="0"/>
        <v>18</v>
      </c>
      <c r="W10" s="11">
        <f t="shared" si="0"/>
        <v>19</v>
      </c>
      <c r="X10" s="11">
        <f t="shared" si="0"/>
        <v>20</v>
      </c>
    </row>
    <row r="11" spans="1:25" ht="15">
      <c r="A11" s="334" t="s">
        <v>735</v>
      </c>
      <c r="B11" s="335"/>
      <c r="C11" s="258" t="str">
        <f>$C$8</f>
        <v>Street and Roadway Lighting-New</v>
      </c>
      <c r="D11" s="258"/>
      <c r="E11" s="258">
        <f>C9-20+1</f>
        <v>2016</v>
      </c>
      <c r="F11" s="258">
        <f>E11+1</f>
        <v>2017</v>
      </c>
      <c r="G11" s="258">
        <f t="shared" si="0"/>
        <v>2018</v>
      </c>
      <c r="H11" s="258">
        <f t="shared" si="0"/>
        <v>2019</v>
      </c>
      <c r="I11" s="258">
        <f t="shared" si="0"/>
        <v>2020</v>
      </c>
      <c r="J11" s="258">
        <f t="shared" si="0"/>
        <v>2021</v>
      </c>
      <c r="K11" s="258">
        <f t="shared" si="0"/>
        <v>2022</v>
      </c>
      <c r="L11" s="258">
        <f t="shared" si="0"/>
        <v>2023</v>
      </c>
      <c r="M11" s="258">
        <f t="shared" si="0"/>
        <v>2024</v>
      </c>
      <c r="N11" s="258">
        <f t="shared" si="0"/>
        <v>2025</v>
      </c>
      <c r="O11" s="258">
        <f t="shared" si="0"/>
        <v>2026</v>
      </c>
      <c r="P11" s="258">
        <f t="shared" si="0"/>
        <v>2027</v>
      </c>
      <c r="Q11" s="258">
        <f t="shared" si="0"/>
        <v>2028</v>
      </c>
      <c r="R11" s="258">
        <f t="shared" si="0"/>
        <v>2029</v>
      </c>
      <c r="S11" s="258">
        <f t="shared" si="0"/>
        <v>2030</v>
      </c>
      <c r="T11" s="258">
        <f t="shared" si="0"/>
        <v>2031</v>
      </c>
      <c r="U11" s="258">
        <f t="shared" si="0"/>
        <v>2032</v>
      </c>
      <c r="V11" s="258">
        <f t="shared" si="0"/>
        <v>2033</v>
      </c>
      <c r="W11" s="258">
        <f t="shared" si="0"/>
        <v>2034</v>
      </c>
      <c r="X11" s="258">
        <f t="shared" si="0"/>
        <v>2035</v>
      </c>
      <c r="Y11" s="410" t="s">
        <v>777</v>
      </c>
    </row>
    <row r="12" spans="1:25">
      <c r="A12" s="258"/>
      <c r="B12" s="258"/>
      <c r="C12" s="270" t="s">
        <v>680</v>
      </c>
      <c r="D12" s="258"/>
      <c r="E12" s="258" t="str">
        <f>CONCATENATE("POP_",E11)</f>
        <v>POP_2016</v>
      </c>
      <c r="F12" s="258" t="str">
        <f t="shared" ref="F12:X12" si="1">CONCATENATE("POP_",F11)</f>
        <v>POP_2017</v>
      </c>
      <c r="G12" s="258" t="str">
        <f t="shared" si="1"/>
        <v>POP_2018</v>
      </c>
      <c r="H12" s="258" t="str">
        <f t="shared" si="1"/>
        <v>POP_2019</v>
      </c>
      <c r="I12" s="258" t="str">
        <f t="shared" si="1"/>
        <v>POP_2020</v>
      </c>
      <c r="J12" s="258" t="str">
        <f t="shared" si="1"/>
        <v>POP_2021</v>
      </c>
      <c r="K12" s="258" t="str">
        <f t="shared" si="1"/>
        <v>POP_2022</v>
      </c>
      <c r="L12" s="258" t="str">
        <f t="shared" si="1"/>
        <v>POP_2023</v>
      </c>
      <c r="M12" s="258" t="str">
        <f t="shared" si="1"/>
        <v>POP_2024</v>
      </c>
      <c r="N12" s="258" t="str">
        <f t="shared" si="1"/>
        <v>POP_2025</v>
      </c>
      <c r="O12" s="258" t="str">
        <f t="shared" si="1"/>
        <v>POP_2026</v>
      </c>
      <c r="P12" s="258" t="str">
        <f t="shared" si="1"/>
        <v>POP_2027</v>
      </c>
      <c r="Q12" s="258" t="str">
        <f t="shared" si="1"/>
        <v>POP_2028</v>
      </c>
      <c r="R12" s="258" t="str">
        <f t="shared" si="1"/>
        <v>POP_2029</v>
      </c>
      <c r="S12" s="258" t="str">
        <f t="shared" si="1"/>
        <v>POP_2030</v>
      </c>
      <c r="T12" s="258" t="str">
        <f t="shared" si="1"/>
        <v>POP_2031</v>
      </c>
      <c r="U12" s="258" t="str">
        <f t="shared" si="1"/>
        <v>POP_2032</v>
      </c>
      <c r="V12" s="258" t="str">
        <f t="shared" si="1"/>
        <v>POP_2033</v>
      </c>
      <c r="W12" s="258" t="str">
        <f t="shared" si="1"/>
        <v>POP_2034</v>
      </c>
      <c r="X12" s="258" t="str">
        <f t="shared" si="1"/>
        <v>POP_2035</v>
      </c>
      <c r="Y12" s="411">
        <v>0.85</v>
      </c>
    </row>
    <row r="13" spans="1:25">
      <c r="C13" s="11" t="s">
        <v>736</v>
      </c>
      <c r="D13" s="166">
        <f>INDEX(Population,MATCH($D$8,'[4]Pop Forecast (Base Case)'!$B$5:$B$10,0),E$10+33)</f>
        <v>13381.124030000001</v>
      </c>
      <c r="E13" s="265">
        <f>INDEX(Population,MATCH($D$8,'[4]Pop Forecast (Base Case)'!$B$5:$B$10,0),E$10+34)</f>
        <v>13520.68111</v>
      </c>
      <c r="F13" s="265">
        <f>INDEX(Population,MATCH($D$8,'[4]Pop Forecast (Base Case)'!$B$5:$B$10,0),F$10+34)</f>
        <v>13661.840299999998</v>
      </c>
      <c r="G13" s="265">
        <f>INDEX(Population,MATCH($D$8,'[4]Pop Forecast (Base Case)'!$B$5:$B$10,0),G$10+34)</f>
        <v>13803.691440000001</v>
      </c>
      <c r="H13" s="265">
        <f>INDEX(Population,MATCH($D$8,'[4]Pop Forecast (Base Case)'!$B$5:$B$10,0),H$10+34)</f>
        <v>13944.276469999999</v>
      </c>
      <c r="I13" s="265">
        <f>INDEX(Population,MATCH($D$8,'[4]Pop Forecast (Base Case)'!$B$5:$B$10,0),I$10+34)</f>
        <v>14082.801340000002</v>
      </c>
      <c r="J13" s="265">
        <f>INDEX(Population,MATCH($D$8,'[4]Pop Forecast (Base Case)'!$B$5:$B$10,0),J$10+34)</f>
        <v>14218.715590000002</v>
      </c>
      <c r="K13" s="265">
        <f>INDEX(Population,MATCH($D$8,'[4]Pop Forecast (Base Case)'!$B$5:$B$10,0),K$10+34)</f>
        <v>14351.918940000001</v>
      </c>
      <c r="L13" s="265">
        <f>INDEX(Population,MATCH($D$8,'[4]Pop Forecast (Base Case)'!$B$5:$B$10,0),L$10+34)</f>
        <v>14482.437540000003</v>
      </c>
      <c r="M13" s="265">
        <f>INDEX(Population,MATCH($D$8,'[4]Pop Forecast (Base Case)'!$B$5:$B$10,0),M$10+34)</f>
        <v>14610.4211</v>
      </c>
      <c r="N13" s="265">
        <f>INDEX(Population,MATCH($D$8,'[4]Pop Forecast (Base Case)'!$B$5:$B$10,0),N$10+34)</f>
        <v>14736.24631</v>
      </c>
      <c r="O13" s="265">
        <f>INDEX(Population,MATCH($D$8,'[4]Pop Forecast (Base Case)'!$B$5:$B$10,0),O$10+34)</f>
        <v>14860.320880000001</v>
      </c>
      <c r="P13" s="265">
        <f>INDEX(Population,MATCH($D$8,'[4]Pop Forecast (Base Case)'!$B$5:$B$10,0),P$10+34)</f>
        <v>14983.078860000001</v>
      </c>
      <c r="Q13" s="265">
        <f>INDEX(Population,MATCH($D$8,'[4]Pop Forecast (Base Case)'!$B$5:$B$10,0),Q$10+34)</f>
        <v>15104.70127</v>
      </c>
      <c r="R13" s="265">
        <f>INDEX(Population,MATCH($D$8,'[4]Pop Forecast (Base Case)'!$B$5:$B$10,0),R$10+34)</f>
        <v>15225.195700000002</v>
      </c>
      <c r="S13" s="265">
        <f>INDEX(Population,MATCH($D$8,'[4]Pop Forecast (Base Case)'!$B$5:$B$10,0),S$10+34)</f>
        <v>15344.62486</v>
      </c>
      <c r="T13" s="265">
        <f>INDEX(Population,MATCH($D$8,'[4]Pop Forecast (Base Case)'!$B$5:$B$10,0),T$10+34)</f>
        <v>15463.089019999998</v>
      </c>
      <c r="U13" s="265">
        <f>INDEX(Population,MATCH($D$8,'[4]Pop Forecast (Base Case)'!$B$5:$B$10,0),U$10+34)</f>
        <v>15580.68845</v>
      </c>
      <c r="V13" s="265">
        <f>INDEX(Population,MATCH($D$8,'[4]Pop Forecast (Base Case)'!$B$5:$B$10,0),V$10+34)</f>
        <v>15697.50913</v>
      </c>
      <c r="W13" s="265">
        <f>INDEX(Population,MATCH($D$8,'[4]Pop Forecast (Base Case)'!$B$5:$B$10,0),W$10+34)</f>
        <v>15813.626329999999</v>
      </c>
      <c r="X13" s="265">
        <f>INDEX(Population,MATCH($D$8,'[4]Pop Forecast (Base Case)'!$B$5:$B$10,0),X$10+34)</f>
        <v>15929.254489999999</v>
      </c>
      <c r="Y13" s="166"/>
    </row>
    <row r="14" spans="1:25">
      <c r="C14" s="11" t="s">
        <v>737</v>
      </c>
      <c r="E14" s="266">
        <f>E13-D13</f>
        <v>139.55707999999868</v>
      </c>
      <c r="F14" s="266">
        <f t="shared" ref="F14:X14" si="2">F13-E13</f>
        <v>141.15918999999849</v>
      </c>
      <c r="G14" s="266">
        <f t="shared" si="2"/>
        <v>141.85114000000249</v>
      </c>
      <c r="H14" s="266">
        <f t="shared" si="2"/>
        <v>140.58502999999837</v>
      </c>
      <c r="I14" s="266">
        <f t="shared" si="2"/>
        <v>138.52487000000292</v>
      </c>
      <c r="J14" s="266">
        <f t="shared" si="2"/>
        <v>135.91424999999981</v>
      </c>
      <c r="K14" s="266">
        <f t="shared" si="2"/>
        <v>133.20334999999977</v>
      </c>
      <c r="L14" s="266">
        <f t="shared" si="2"/>
        <v>130.51860000000124</v>
      </c>
      <c r="M14" s="266">
        <f t="shared" si="2"/>
        <v>127.98355999999694</v>
      </c>
      <c r="N14" s="266">
        <f t="shared" si="2"/>
        <v>125.82521000000088</v>
      </c>
      <c r="O14" s="266">
        <f t="shared" si="2"/>
        <v>124.07457000000068</v>
      </c>
      <c r="P14" s="266">
        <f t="shared" si="2"/>
        <v>122.75798000000032</v>
      </c>
      <c r="Q14" s="266">
        <f t="shared" si="2"/>
        <v>121.62240999999813</v>
      </c>
      <c r="R14" s="266">
        <f t="shared" si="2"/>
        <v>120.49443000000247</v>
      </c>
      <c r="S14" s="266">
        <f t="shared" si="2"/>
        <v>119.42915999999786</v>
      </c>
      <c r="T14" s="266">
        <f t="shared" si="2"/>
        <v>118.46415999999772</v>
      </c>
      <c r="U14" s="266">
        <f t="shared" si="2"/>
        <v>117.59943000000203</v>
      </c>
      <c r="V14" s="266">
        <f t="shared" si="2"/>
        <v>116.82068000000072</v>
      </c>
      <c r="W14" s="266">
        <f t="shared" si="2"/>
        <v>116.11719999999877</v>
      </c>
      <c r="X14" s="266">
        <f t="shared" si="2"/>
        <v>115.62816000000021</v>
      </c>
      <c r="Y14" s="166"/>
    </row>
    <row r="15" spans="1:25">
      <c r="A15" s="11" t="s">
        <v>738</v>
      </c>
      <c r="B15" s="317">
        <f>'Outdoor Stock'!G6</f>
        <v>81</v>
      </c>
      <c r="C15" s="11" t="s">
        <v>739</v>
      </c>
      <c r="E15" s="266">
        <f>E14*$B$15</f>
        <v>11304.123479999893</v>
      </c>
      <c r="F15" s="266">
        <f t="shared" ref="F15:X15" si="3">F14*$B$15</f>
        <v>11433.894389999878</v>
      </c>
      <c r="G15" s="266">
        <f t="shared" si="3"/>
        <v>11489.942340000202</v>
      </c>
      <c r="H15" s="266">
        <f t="shared" si="3"/>
        <v>11387.387429999868</v>
      </c>
      <c r="I15" s="266">
        <f t="shared" si="3"/>
        <v>11220.514470000237</v>
      </c>
      <c r="J15" s="266">
        <f t="shared" si="3"/>
        <v>11009.054249999985</v>
      </c>
      <c r="K15" s="266">
        <f t="shared" si="3"/>
        <v>10789.471349999982</v>
      </c>
      <c r="L15" s="266">
        <f t="shared" si="3"/>
        <v>10572.006600000101</v>
      </c>
      <c r="M15" s="266">
        <f t="shared" si="3"/>
        <v>10366.668359999752</v>
      </c>
      <c r="N15" s="266">
        <f t="shared" si="3"/>
        <v>10191.842010000071</v>
      </c>
      <c r="O15" s="266">
        <f t="shared" si="3"/>
        <v>10050.040170000055</v>
      </c>
      <c r="P15" s="266">
        <f t="shared" si="3"/>
        <v>9943.3963800000256</v>
      </c>
      <c r="Q15" s="266">
        <f t="shared" si="3"/>
        <v>9851.4152099998482</v>
      </c>
      <c r="R15" s="266">
        <f t="shared" si="3"/>
        <v>9760.0488300001998</v>
      </c>
      <c r="S15" s="266">
        <f t="shared" si="3"/>
        <v>9673.761959999827</v>
      </c>
      <c r="T15" s="266">
        <f t="shared" si="3"/>
        <v>9595.5969599998152</v>
      </c>
      <c r="U15" s="266">
        <f t="shared" si="3"/>
        <v>9525.5538300001645</v>
      </c>
      <c r="V15" s="266">
        <f t="shared" si="3"/>
        <v>9462.4750800000584</v>
      </c>
      <c r="W15" s="266">
        <f t="shared" si="3"/>
        <v>9405.4931999999008</v>
      </c>
      <c r="X15" s="266">
        <f t="shared" si="3"/>
        <v>9365.8809600000168</v>
      </c>
      <c r="Y15" s="412">
        <f>SUM(E15:X15)</f>
        <v>206398.56725999987</v>
      </c>
    </row>
    <row r="17" spans="1:27">
      <c r="C17" s="11" t="s">
        <v>775</v>
      </c>
      <c r="E17" s="245">
        <f>E15</f>
        <v>11304.123479999893</v>
      </c>
      <c r="F17" s="245">
        <f>F15</f>
        <v>11433.894389999878</v>
      </c>
      <c r="G17" s="245">
        <f t="shared" ref="G17:X17" si="4">G15</f>
        <v>11489.942340000202</v>
      </c>
      <c r="H17" s="245">
        <f t="shared" si="4"/>
        <v>11387.387429999868</v>
      </c>
      <c r="I17" s="245">
        <f t="shared" si="4"/>
        <v>11220.514470000237</v>
      </c>
      <c r="J17" s="245">
        <f t="shared" si="4"/>
        <v>11009.054249999985</v>
      </c>
      <c r="K17" s="245">
        <f t="shared" si="4"/>
        <v>10789.471349999982</v>
      </c>
      <c r="L17" s="245">
        <f t="shared" si="4"/>
        <v>10572.006600000101</v>
      </c>
      <c r="M17" s="245">
        <f t="shared" si="4"/>
        <v>10366.668359999752</v>
      </c>
      <c r="N17" s="245">
        <f t="shared" si="4"/>
        <v>10191.842010000071</v>
      </c>
      <c r="O17" s="245">
        <f t="shared" si="4"/>
        <v>10050.040170000055</v>
      </c>
      <c r="P17" s="245">
        <f t="shared" si="4"/>
        <v>9943.3963800000256</v>
      </c>
      <c r="Q17" s="245">
        <f t="shared" si="4"/>
        <v>9851.4152099998482</v>
      </c>
      <c r="R17" s="245">
        <f t="shared" si="4"/>
        <v>9760.0488300001998</v>
      </c>
      <c r="S17" s="245">
        <f t="shared" si="4"/>
        <v>9673.761959999827</v>
      </c>
      <c r="T17" s="245">
        <f t="shared" si="4"/>
        <v>9595.5969599998152</v>
      </c>
      <c r="U17" s="245">
        <f t="shared" si="4"/>
        <v>9525.5538300001645</v>
      </c>
      <c r="V17" s="245">
        <f t="shared" si="4"/>
        <v>9462.4750800000584</v>
      </c>
      <c r="W17" s="245">
        <f t="shared" si="4"/>
        <v>9405.4931999999008</v>
      </c>
      <c r="X17" s="245">
        <f t="shared" si="4"/>
        <v>9365.8809600000168</v>
      </c>
    </row>
    <row r="18" spans="1:27">
      <c r="C18" s="11" t="s">
        <v>776</v>
      </c>
      <c r="E18" s="266">
        <f>E17</f>
        <v>11304.123479999893</v>
      </c>
      <c r="F18" s="266">
        <f>E18+F17</f>
        <v>22738.01786999977</v>
      </c>
      <c r="G18" s="266">
        <f t="shared" ref="G18:X18" si="5">F18+G17</f>
        <v>34227.960209999976</v>
      </c>
      <c r="H18" s="266">
        <f t="shared" si="5"/>
        <v>45615.347639999847</v>
      </c>
      <c r="I18" s="266">
        <f t="shared" si="5"/>
        <v>56835.862110000082</v>
      </c>
      <c r="J18" s="266">
        <f t="shared" si="5"/>
        <v>67844.916360000061</v>
      </c>
      <c r="K18" s="266">
        <f t="shared" si="5"/>
        <v>78634.387710000039</v>
      </c>
      <c r="L18" s="266">
        <f t="shared" si="5"/>
        <v>89206.394310000134</v>
      </c>
      <c r="M18" s="266">
        <f t="shared" si="5"/>
        <v>99573.062669999883</v>
      </c>
      <c r="N18" s="266">
        <f t="shared" si="5"/>
        <v>109764.90467999995</v>
      </c>
      <c r="O18" s="266">
        <f t="shared" si="5"/>
        <v>119814.94485</v>
      </c>
      <c r="P18" s="266">
        <f t="shared" si="5"/>
        <v>129758.34123000002</v>
      </c>
      <c r="Q18" s="266">
        <f t="shared" si="5"/>
        <v>139609.75643999988</v>
      </c>
      <c r="R18" s="266">
        <f t="shared" si="5"/>
        <v>149369.80527000007</v>
      </c>
      <c r="S18" s="266">
        <f t="shared" si="5"/>
        <v>159043.5672299999</v>
      </c>
      <c r="T18" s="266">
        <f t="shared" si="5"/>
        <v>168639.16418999972</v>
      </c>
      <c r="U18" s="266">
        <f t="shared" si="5"/>
        <v>178164.71801999988</v>
      </c>
      <c r="V18" s="266">
        <f t="shared" si="5"/>
        <v>187627.19309999995</v>
      </c>
      <c r="W18" s="266">
        <f t="shared" si="5"/>
        <v>197032.68629999986</v>
      </c>
      <c r="X18" s="266">
        <f t="shared" si="5"/>
        <v>206398.56725999987</v>
      </c>
      <c r="Y18" s="265"/>
    </row>
    <row r="19" spans="1:27">
      <c r="E19" s="263"/>
      <c r="F19" s="263"/>
      <c r="G19" s="263"/>
      <c r="H19" s="263"/>
      <c r="I19" s="263"/>
      <c r="J19" s="263"/>
      <c r="K19" s="263"/>
      <c r="L19" s="263"/>
      <c r="M19" s="263"/>
      <c r="N19" s="263"/>
      <c r="O19" s="263"/>
      <c r="P19" s="263"/>
      <c r="Q19" s="263"/>
      <c r="R19" s="263"/>
      <c r="S19" s="263"/>
      <c r="T19" s="263"/>
      <c r="U19" s="263"/>
      <c r="V19" s="263"/>
      <c r="W19" s="263"/>
      <c r="X19" s="263"/>
    </row>
    <row r="20" spans="1:27">
      <c r="A20" s="258" t="s">
        <v>967</v>
      </c>
      <c r="B20" s="258"/>
      <c r="C20" s="258"/>
      <c r="D20" s="258"/>
      <c r="E20" s="402">
        <f>E11</f>
        <v>2016</v>
      </c>
      <c r="F20" s="402">
        <f t="shared" ref="F20:X20" si="6">F11</f>
        <v>2017</v>
      </c>
      <c r="G20" s="402">
        <f t="shared" si="6"/>
        <v>2018</v>
      </c>
      <c r="H20" s="402">
        <f t="shared" si="6"/>
        <v>2019</v>
      </c>
      <c r="I20" s="402">
        <f t="shared" si="6"/>
        <v>2020</v>
      </c>
      <c r="J20" s="402">
        <f t="shared" si="6"/>
        <v>2021</v>
      </c>
      <c r="K20" s="402">
        <f t="shared" si="6"/>
        <v>2022</v>
      </c>
      <c r="L20" s="402">
        <f t="shared" si="6"/>
        <v>2023</v>
      </c>
      <c r="M20" s="402">
        <f t="shared" si="6"/>
        <v>2024</v>
      </c>
      <c r="N20" s="402">
        <f t="shared" si="6"/>
        <v>2025</v>
      </c>
      <c r="O20" s="402">
        <f t="shared" si="6"/>
        <v>2026</v>
      </c>
      <c r="P20" s="402">
        <f t="shared" si="6"/>
        <v>2027</v>
      </c>
      <c r="Q20" s="402">
        <f t="shared" si="6"/>
        <v>2028</v>
      </c>
      <c r="R20" s="402">
        <f t="shared" si="6"/>
        <v>2029</v>
      </c>
      <c r="S20" s="402">
        <f t="shared" si="6"/>
        <v>2030</v>
      </c>
      <c r="T20" s="402">
        <f t="shared" si="6"/>
        <v>2031</v>
      </c>
      <c r="U20" s="402">
        <f t="shared" si="6"/>
        <v>2032</v>
      </c>
      <c r="V20" s="402">
        <f t="shared" si="6"/>
        <v>2033</v>
      </c>
      <c r="W20" s="402">
        <f t="shared" si="6"/>
        <v>2034</v>
      </c>
      <c r="X20" s="402">
        <f t="shared" si="6"/>
        <v>2035</v>
      </c>
      <c r="Y20" s="410" t="s">
        <v>903</v>
      </c>
    </row>
    <row r="21" spans="1:27">
      <c r="A21" s="258" t="s">
        <v>968</v>
      </c>
      <c r="B21" s="258" t="s">
        <v>969</v>
      </c>
      <c r="C21" s="258" t="str">
        <f>C8</f>
        <v>Street and Roadway Lighting-New</v>
      </c>
      <c r="D21" s="258"/>
      <c r="E21" s="403"/>
      <c r="F21" s="403"/>
      <c r="G21" s="403"/>
      <c r="H21" s="403"/>
      <c r="I21" s="403"/>
      <c r="J21" s="403"/>
      <c r="K21" s="403"/>
      <c r="L21" s="403"/>
      <c r="M21" s="403"/>
      <c r="N21" s="403"/>
      <c r="O21" s="403"/>
      <c r="P21" s="403"/>
      <c r="Q21" s="403"/>
      <c r="R21" s="403"/>
      <c r="S21" s="403"/>
      <c r="T21" s="403"/>
      <c r="U21" s="403"/>
      <c r="V21" s="403"/>
      <c r="W21" s="403"/>
      <c r="X21" s="403"/>
      <c r="Y21" s="411"/>
    </row>
    <row r="22" spans="1:27">
      <c r="A22" s="404">
        <f>VLOOKUP($C$8,[2]!APPLIC,MATCH($C$12,[2]!BLDGTYPE,0),FALSE)</f>
        <v>0.5</v>
      </c>
      <c r="B22" s="246">
        <f>VLOOKUP(C22,WattClass,2,FALSE)</f>
        <v>0.54</v>
      </c>
      <c r="C22" s="34" t="s">
        <v>664</v>
      </c>
      <c r="E22" s="263">
        <f>E$15*$A22*$B22</f>
        <v>3052.1133395999714</v>
      </c>
      <c r="F22" s="263">
        <f t="shared" ref="F22:X26" si="7">F$15*$A22*$B22</f>
        <v>3087.1514852999671</v>
      </c>
      <c r="G22" s="263">
        <f t="shared" si="7"/>
        <v>3102.2844318000548</v>
      </c>
      <c r="H22" s="263">
        <f t="shared" si="7"/>
        <v>3074.5946060999645</v>
      </c>
      <c r="I22" s="263">
        <f t="shared" si="7"/>
        <v>3029.5389069000639</v>
      </c>
      <c r="J22" s="263">
        <f t="shared" si="7"/>
        <v>2972.4446474999959</v>
      </c>
      <c r="K22" s="263">
        <f t="shared" si="7"/>
        <v>2913.1572644999951</v>
      </c>
      <c r="L22" s="263">
        <f t="shared" si="7"/>
        <v>2854.4417820000272</v>
      </c>
      <c r="M22" s="263">
        <f t="shared" si="7"/>
        <v>2799.0004571999334</v>
      </c>
      <c r="N22" s="263">
        <f t="shared" si="7"/>
        <v>2751.7973427000193</v>
      </c>
      <c r="O22" s="263">
        <f t="shared" si="7"/>
        <v>2713.5108459000148</v>
      </c>
      <c r="P22" s="263">
        <f t="shared" si="7"/>
        <v>2684.7170226000071</v>
      </c>
      <c r="Q22" s="263">
        <f t="shared" si="7"/>
        <v>2659.8821066999594</v>
      </c>
      <c r="R22" s="263">
        <f t="shared" si="7"/>
        <v>2635.2131841000541</v>
      </c>
      <c r="S22" s="263">
        <f t="shared" si="7"/>
        <v>2611.9157291999536</v>
      </c>
      <c r="T22" s="263">
        <f t="shared" si="7"/>
        <v>2590.8111791999504</v>
      </c>
      <c r="U22" s="263">
        <f t="shared" si="7"/>
        <v>2571.8995341000445</v>
      </c>
      <c r="V22" s="263">
        <f t="shared" si="7"/>
        <v>2554.8682716000158</v>
      </c>
      <c r="W22" s="263">
        <f t="shared" si="7"/>
        <v>2539.4831639999734</v>
      </c>
      <c r="X22" s="263">
        <f t="shared" si="7"/>
        <v>2528.7878592000047</v>
      </c>
      <c r="Y22" s="412">
        <f>SUM(E22:X22)</f>
        <v>55727.613160199966</v>
      </c>
    </row>
    <row r="23" spans="1:27">
      <c r="A23" s="404">
        <f>VLOOKUP($C$8,[2]!APPLIC,MATCH($C$12,[2]!BLDGTYPE,0),FALSE)</f>
        <v>0.5</v>
      </c>
      <c r="B23" s="246">
        <f>VLOOKUP(C23,WattClass,2,FALSE)</f>
        <v>0.14000000000000001</v>
      </c>
      <c r="C23" s="34" t="s">
        <v>666</v>
      </c>
      <c r="E23" s="263">
        <f t="shared" ref="E23:T26" si="8">E$15*$A23*$B23</f>
        <v>791.28864359999261</v>
      </c>
      <c r="F23" s="263">
        <f t="shared" si="8"/>
        <v>800.3726072999915</v>
      </c>
      <c r="G23" s="263">
        <f t="shared" si="8"/>
        <v>804.29596380001419</v>
      </c>
      <c r="H23" s="263">
        <f t="shared" si="8"/>
        <v>797.11712009999087</v>
      </c>
      <c r="I23" s="263">
        <f t="shared" si="8"/>
        <v>785.43601290001664</v>
      </c>
      <c r="J23" s="263">
        <f t="shared" si="8"/>
        <v>770.63379749999899</v>
      </c>
      <c r="K23" s="263">
        <f t="shared" si="8"/>
        <v>755.26299449999874</v>
      </c>
      <c r="L23" s="263">
        <f t="shared" si="8"/>
        <v>740.0404620000071</v>
      </c>
      <c r="M23" s="263">
        <f t="shared" si="8"/>
        <v>725.66678519998277</v>
      </c>
      <c r="N23" s="263">
        <f t="shared" si="8"/>
        <v>713.428940700005</v>
      </c>
      <c r="O23" s="263">
        <f t="shared" si="8"/>
        <v>703.50281190000385</v>
      </c>
      <c r="P23" s="263">
        <f t="shared" si="8"/>
        <v>696.03774660000181</v>
      </c>
      <c r="Q23" s="263">
        <f t="shared" si="8"/>
        <v>689.59906469998941</v>
      </c>
      <c r="R23" s="263">
        <f t="shared" si="8"/>
        <v>683.20341810001401</v>
      </c>
      <c r="S23" s="263">
        <f t="shared" si="8"/>
        <v>677.16333719998795</v>
      </c>
      <c r="T23" s="263">
        <f t="shared" si="8"/>
        <v>671.69178719998717</v>
      </c>
      <c r="U23" s="263">
        <f t="shared" si="7"/>
        <v>666.78876810001157</v>
      </c>
      <c r="V23" s="263">
        <f t="shared" si="7"/>
        <v>662.3732556000042</v>
      </c>
      <c r="W23" s="263">
        <f t="shared" si="7"/>
        <v>658.38452399999312</v>
      </c>
      <c r="X23" s="263">
        <f t="shared" si="7"/>
        <v>655.61166720000119</v>
      </c>
      <c r="Y23" s="412">
        <f t="shared" ref="Y23:Y28" si="9">SUM(E23:X23)</f>
        <v>14447.899708199995</v>
      </c>
    </row>
    <row r="24" spans="1:27">
      <c r="A24" s="404">
        <f>VLOOKUP($C$8,[2]!APPLIC,MATCH($C$12,[2]!BLDGTYPE,0),FALSE)</f>
        <v>0.5</v>
      </c>
      <c r="B24" s="246">
        <f>VLOOKUP(C24,WattClass,2,FALSE)</f>
        <v>0.13100000000000001</v>
      </c>
      <c r="C24" s="34" t="s">
        <v>665</v>
      </c>
      <c r="E24" s="263">
        <f t="shared" si="8"/>
        <v>740.42008793999298</v>
      </c>
      <c r="F24" s="263">
        <f t="shared" si="7"/>
        <v>748.92008254499206</v>
      </c>
      <c r="G24" s="263">
        <f t="shared" si="7"/>
        <v>752.59122327001319</v>
      </c>
      <c r="H24" s="263">
        <f t="shared" si="7"/>
        <v>745.87387666499137</v>
      </c>
      <c r="I24" s="263">
        <f t="shared" si="7"/>
        <v>734.9436977850155</v>
      </c>
      <c r="J24" s="263">
        <f t="shared" si="7"/>
        <v>721.09305337499904</v>
      </c>
      <c r="K24" s="263">
        <f t="shared" si="7"/>
        <v>706.71037342499881</v>
      </c>
      <c r="L24" s="263">
        <f t="shared" si="7"/>
        <v>692.46643230000666</v>
      </c>
      <c r="M24" s="263">
        <f t="shared" si="7"/>
        <v>679.0167775799838</v>
      </c>
      <c r="N24" s="263">
        <f t="shared" si="7"/>
        <v>667.56565165500467</v>
      </c>
      <c r="O24" s="263">
        <f t="shared" si="7"/>
        <v>658.27763113500362</v>
      </c>
      <c r="P24" s="263">
        <f t="shared" si="7"/>
        <v>651.29246289000173</v>
      </c>
      <c r="Q24" s="263">
        <f t="shared" si="7"/>
        <v>645.26769625499014</v>
      </c>
      <c r="R24" s="263">
        <f t="shared" si="7"/>
        <v>639.28319836501316</v>
      </c>
      <c r="S24" s="263">
        <f t="shared" si="7"/>
        <v>633.63140837998867</v>
      </c>
      <c r="T24" s="263">
        <f t="shared" si="7"/>
        <v>628.5116008799879</v>
      </c>
      <c r="U24" s="263">
        <f t="shared" si="7"/>
        <v>623.92377586501084</v>
      </c>
      <c r="V24" s="263">
        <f t="shared" si="7"/>
        <v>619.79211774000385</v>
      </c>
      <c r="W24" s="263">
        <f t="shared" si="7"/>
        <v>616.05980459999353</v>
      </c>
      <c r="X24" s="263">
        <f t="shared" si="7"/>
        <v>613.46520288000113</v>
      </c>
      <c r="Y24" s="412">
        <f t="shared" si="9"/>
        <v>13519.106155529993</v>
      </c>
    </row>
    <row r="25" spans="1:27">
      <c r="A25" s="404">
        <f>VLOOKUP($C$8,[2]!APPLIC,MATCH($C$12,[2]!BLDGTYPE,0),FALSE)</f>
        <v>0.5</v>
      </c>
      <c r="B25" s="246">
        <f>VLOOKUP(C25,WattClass,2,FALSE)</f>
        <v>0.17499999999999999</v>
      </c>
      <c r="C25" s="34" t="s">
        <v>667</v>
      </c>
      <c r="E25" s="263">
        <f t="shared" si="8"/>
        <v>989.11080449999054</v>
      </c>
      <c r="F25" s="263">
        <f t="shared" si="7"/>
        <v>1000.4657591249892</v>
      </c>
      <c r="G25" s="263">
        <f t="shared" si="7"/>
        <v>1005.3699547500175</v>
      </c>
      <c r="H25" s="263">
        <f t="shared" si="7"/>
        <v>996.39640012498842</v>
      </c>
      <c r="I25" s="263">
        <f t="shared" si="7"/>
        <v>981.79501612502065</v>
      </c>
      <c r="J25" s="263">
        <f t="shared" si="7"/>
        <v>963.29224687499857</v>
      </c>
      <c r="K25" s="263">
        <f t="shared" si="7"/>
        <v>944.07874312499837</v>
      </c>
      <c r="L25" s="263">
        <f t="shared" si="7"/>
        <v>925.05057750000879</v>
      </c>
      <c r="M25" s="263">
        <f t="shared" si="7"/>
        <v>907.08348149997823</v>
      </c>
      <c r="N25" s="263">
        <f t="shared" si="7"/>
        <v>891.78617587500617</v>
      </c>
      <c r="O25" s="263">
        <f t="shared" si="7"/>
        <v>879.37851487500473</v>
      </c>
      <c r="P25" s="263">
        <f t="shared" si="7"/>
        <v>870.04718325000215</v>
      </c>
      <c r="Q25" s="263">
        <f t="shared" si="7"/>
        <v>861.99883087498665</v>
      </c>
      <c r="R25" s="263">
        <f t="shared" si="7"/>
        <v>854.00427262501739</v>
      </c>
      <c r="S25" s="263">
        <f t="shared" si="7"/>
        <v>846.4541714999848</v>
      </c>
      <c r="T25" s="263">
        <f t="shared" si="7"/>
        <v>839.61473399998374</v>
      </c>
      <c r="U25" s="263">
        <f t="shared" si="7"/>
        <v>833.48596012501434</v>
      </c>
      <c r="V25" s="263">
        <f t="shared" si="7"/>
        <v>827.96656950000511</v>
      </c>
      <c r="W25" s="263">
        <f t="shared" si="7"/>
        <v>822.98065499999132</v>
      </c>
      <c r="X25" s="263">
        <f t="shared" si="7"/>
        <v>819.51458400000138</v>
      </c>
      <c r="Y25" s="412">
        <f t="shared" si="9"/>
        <v>18059.874635249987</v>
      </c>
    </row>
    <row r="26" spans="1:27">
      <c r="A26" s="404">
        <f>VLOOKUP($C$8,[2]!APPLIC,MATCH($C$12,[2]!BLDGTYPE,0),FALSE)</f>
        <v>0.5</v>
      </c>
      <c r="B26" s="246">
        <f>VLOOKUP(C26,WattClass,2,FALSE)</f>
        <v>1.4E-2</v>
      </c>
      <c r="C26" s="34" t="s">
        <v>668</v>
      </c>
      <c r="E26" s="263">
        <f t="shared" si="8"/>
        <v>79.128864359999255</v>
      </c>
      <c r="F26" s="263">
        <f t="shared" si="7"/>
        <v>80.037260729999147</v>
      </c>
      <c r="G26" s="263">
        <f t="shared" si="7"/>
        <v>80.429596380001414</v>
      </c>
      <c r="H26" s="263">
        <f t="shared" si="7"/>
        <v>79.711712009999076</v>
      </c>
      <c r="I26" s="263">
        <f t="shared" si="7"/>
        <v>78.543601290001661</v>
      </c>
      <c r="J26" s="263">
        <f t="shared" si="7"/>
        <v>77.063379749999896</v>
      </c>
      <c r="K26" s="263">
        <f t="shared" si="7"/>
        <v>75.526299449999868</v>
      </c>
      <c r="L26" s="263">
        <f t="shared" si="7"/>
        <v>74.004046200000701</v>
      </c>
      <c r="M26" s="263">
        <f t="shared" si="7"/>
        <v>72.566678519998263</v>
      </c>
      <c r="N26" s="263">
        <f t="shared" si="7"/>
        <v>71.342894070000497</v>
      </c>
      <c r="O26" s="263">
        <f t="shared" si="7"/>
        <v>70.350281190000388</v>
      </c>
      <c r="P26" s="263">
        <f t="shared" si="7"/>
        <v>69.603774660000184</v>
      </c>
      <c r="Q26" s="263">
        <f t="shared" si="7"/>
        <v>68.959906469998941</v>
      </c>
      <c r="R26" s="263">
        <f t="shared" si="7"/>
        <v>68.320341810001395</v>
      </c>
      <c r="S26" s="263">
        <f t="shared" si="7"/>
        <v>67.716333719998786</v>
      </c>
      <c r="T26" s="263">
        <f t="shared" si="7"/>
        <v>67.169178719998712</v>
      </c>
      <c r="U26" s="263">
        <f t="shared" si="7"/>
        <v>66.678876810001157</v>
      </c>
      <c r="V26" s="263">
        <f t="shared" si="7"/>
        <v>66.237325560000414</v>
      </c>
      <c r="W26" s="263">
        <f t="shared" si="7"/>
        <v>65.838452399999312</v>
      </c>
      <c r="X26" s="263">
        <f t="shared" si="7"/>
        <v>65.561166720000116</v>
      </c>
      <c r="Y26" s="412">
        <f t="shared" si="9"/>
        <v>1444.7899708199993</v>
      </c>
    </row>
    <row r="27" spans="1:27">
      <c r="E27" s="263"/>
      <c r="F27" s="263"/>
      <c r="G27" s="263"/>
      <c r="H27" s="263"/>
      <c r="I27" s="263"/>
      <c r="J27" s="263"/>
      <c r="K27" s="263"/>
      <c r="L27" s="263"/>
      <c r="M27" s="263"/>
      <c r="N27" s="263"/>
      <c r="O27" s="263"/>
      <c r="P27" s="263"/>
      <c r="Q27" s="263"/>
      <c r="R27" s="263"/>
      <c r="S27" s="263"/>
      <c r="T27" s="263"/>
      <c r="U27" s="263"/>
      <c r="V27" s="263"/>
      <c r="W27" s="263"/>
      <c r="X27" s="263"/>
    </row>
    <row r="28" spans="1:27">
      <c r="B28" s="405">
        <f>SUM(B22:B26)</f>
        <v>1</v>
      </c>
      <c r="E28" s="263">
        <f>SUM(E22:E26)</f>
        <v>5652.0617399999473</v>
      </c>
      <c r="F28" s="263">
        <f t="shared" ref="F28:X28" si="10">SUM(F22:F26)</f>
        <v>5716.9471949999379</v>
      </c>
      <c r="G28" s="263">
        <f t="shared" si="10"/>
        <v>5744.9711700001008</v>
      </c>
      <c r="H28" s="263">
        <f t="shared" si="10"/>
        <v>5693.6937149999349</v>
      </c>
      <c r="I28" s="263">
        <f t="shared" si="10"/>
        <v>5610.2572350001183</v>
      </c>
      <c r="J28" s="263">
        <f t="shared" si="10"/>
        <v>5504.5271249999914</v>
      </c>
      <c r="K28" s="263">
        <f t="shared" si="10"/>
        <v>5394.7356749999908</v>
      </c>
      <c r="L28" s="263">
        <f t="shared" si="10"/>
        <v>5286.0033000000503</v>
      </c>
      <c r="M28" s="263">
        <f t="shared" si="10"/>
        <v>5183.3341799998761</v>
      </c>
      <c r="N28" s="263">
        <f t="shared" si="10"/>
        <v>5095.9210050000356</v>
      </c>
      <c r="O28" s="263">
        <f t="shared" si="10"/>
        <v>5025.0200850000274</v>
      </c>
      <c r="P28" s="263">
        <f t="shared" si="10"/>
        <v>4971.6981900000137</v>
      </c>
      <c r="Q28" s="263">
        <f t="shared" si="10"/>
        <v>4925.7076049999241</v>
      </c>
      <c r="R28" s="263">
        <f t="shared" si="10"/>
        <v>4880.0244150000999</v>
      </c>
      <c r="S28" s="263">
        <f t="shared" si="10"/>
        <v>4836.8809799999144</v>
      </c>
      <c r="T28" s="263">
        <f t="shared" si="10"/>
        <v>4797.7984799999076</v>
      </c>
      <c r="U28" s="263">
        <f t="shared" si="10"/>
        <v>4762.7769150000831</v>
      </c>
      <c r="V28" s="263">
        <f t="shared" si="10"/>
        <v>4731.2375400000292</v>
      </c>
      <c r="W28" s="263">
        <f t="shared" si="10"/>
        <v>4702.7465999999513</v>
      </c>
      <c r="X28" s="263">
        <f t="shared" si="10"/>
        <v>4682.9404800000084</v>
      </c>
      <c r="Y28" s="412">
        <f t="shared" si="9"/>
        <v>103199.28362999993</v>
      </c>
      <c r="AA28" s="11" t="s">
        <v>911</v>
      </c>
    </row>
    <row r="29" spans="1:27">
      <c r="E29" s="263"/>
      <c r="F29" s="263"/>
      <c r="G29" s="263"/>
      <c r="H29" s="263"/>
      <c r="I29" s="263"/>
      <c r="J29" s="263"/>
      <c r="K29" s="263"/>
      <c r="L29" s="263"/>
      <c r="M29" s="263"/>
      <c r="N29" s="263"/>
      <c r="O29" s="263"/>
      <c r="P29" s="263"/>
      <c r="Q29" s="263"/>
      <c r="R29" s="263"/>
      <c r="S29" s="263"/>
      <c r="T29" s="263"/>
      <c r="U29" s="263"/>
      <c r="V29" s="263"/>
      <c r="W29" s="263"/>
      <c r="X29" s="263"/>
    </row>
    <row r="30" spans="1:27">
      <c r="E30" s="263"/>
      <c r="F30" s="263"/>
      <c r="G30" s="263"/>
      <c r="H30" s="263"/>
      <c r="I30" s="263"/>
      <c r="J30" s="263"/>
      <c r="K30" s="263"/>
      <c r="L30" s="263"/>
      <c r="M30" s="263"/>
      <c r="N30" s="263"/>
      <c r="O30" s="263"/>
      <c r="P30" s="263"/>
      <c r="Q30" s="263"/>
      <c r="R30" s="263"/>
      <c r="S30" s="263"/>
      <c r="T30" s="263"/>
      <c r="U30" s="263"/>
      <c r="V30" s="263"/>
      <c r="W30" s="263"/>
      <c r="X30" s="263"/>
    </row>
    <row r="31" spans="1:27">
      <c r="E31" s="263"/>
      <c r="F31" s="263"/>
      <c r="G31" s="263"/>
      <c r="H31" s="263"/>
      <c r="I31" s="263"/>
      <c r="J31" s="263"/>
      <c r="K31" s="263"/>
      <c r="L31" s="263"/>
      <c r="M31" s="263"/>
      <c r="N31" s="263"/>
      <c r="O31" s="263"/>
      <c r="P31" s="263"/>
      <c r="Q31" s="263"/>
      <c r="R31" s="263"/>
      <c r="S31" s="263"/>
      <c r="T31" s="263"/>
      <c r="U31" s="263"/>
      <c r="V31" s="263"/>
      <c r="W31" s="263"/>
      <c r="X31" s="263"/>
    </row>
    <row r="32" spans="1:27" ht="15">
      <c r="A32" s="334" t="s">
        <v>729</v>
      </c>
      <c r="B32" s="335"/>
      <c r="C32" s="406" t="s">
        <v>972</v>
      </c>
      <c r="E32" s="11">
        <v>3</v>
      </c>
      <c r="F32" s="11">
        <v>4</v>
      </c>
      <c r="G32" s="11">
        <v>5</v>
      </c>
      <c r="H32" s="11">
        <v>6</v>
      </c>
      <c r="I32" s="11">
        <v>7</v>
      </c>
      <c r="J32" s="11">
        <v>8</v>
      </c>
      <c r="K32" s="11">
        <v>9</v>
      </c>
      <c r="L32" s="11">
        <v>10</v>
      </c>
      <c r="M32" s="11">
        <v>11</v>
      </c>
      <c r="N32" s="11">
        <v>12</v>
      </c>
      <c r="O32" s="11">
        <v>13</v>
      </c>
      <c r="P32" s="11">
        <v>14</v>
      </c>
      <c r="Q32" s="11">
        <v>15</v>
      </c>
      <c r="R32" s="11">
        <v>16</v>
      </c>
      <c r="S32" s="11">
        <v>17</v>
      </c>
      <c r="T32" s="11">
        <v>18</v>
      </c>
      <c r="U32" s="11">
        <v>19</v>
      </c>
      <c r="V32" s="11">
        <v>20</v>
      </c>
      <c r="W32" s="11">
        <v>21</v>
      </c>
      <c r="X32" s="11">
        <v>22</v>
      </c>
      <c r="Y32" s="166"/>
    </row>
    <row r="33" spans="1:27" ht="15">
      <c r="A33" s="258" t="s">
        <v>971</v>
      </c>
      <c r="B33" s="258" t="s">
        <v>66</v>
      </c>
      <c r="C33" s="406" t="str">
        <f>$C$8</f>
        <v>Street and Roadway Lighting-New</v>
      </c>
      <c r="D33" s="406" t="s">
        <v>970</v>
      </c>
      <c r="E33" s="409">
        <f>VLOOKUP($C$33,[2]!ACHIEV,MATCH(E$11,$E$11:$Y$11,0)+2,FALSE)</f>
        <v>0.6159606548330806</v>
      </c>
      <c r="F33" s="409">
        <f>VLOOKUP($C$33,[2]!ACHIEV,MATCH(F$11,$E$11:$Y$11,0)+2,FALSE)</f>
        <v>0.76218346297296036</v>
      </c>
      <c r="G33" s="409">
        <f>VLOOKUP($C$33,[2]!ACHIEV,MATCH(G$11,$E$11:$Y$11,0)+2,FALSE)</f>
        <v>0.86662832593001715</v>
      </c>
      <c r="H33" s="409">
        <f>VLOOKUP($C$33,[2]!ACHIEV,MATCH(H$11,$E$11:$Y$11,0)+2,FALSE)</f>
        <v>0.93190636527817794</v>
      </c>
      <c r="I33" s="409">
        <f>VLOOKUP($C$33,[2]!ACHIEV,MATCH(I$11,$E$11:$Y$11,0)+2,FALSE)</f>
        <v>0.96817194269382267</v>
      </c>
      <c r="J33" s="409">
        <f>VLOOKUP($C$33,[2]!ACHIEV,MATCH(J$11,$E$11:$Y$11,0)+2,FALSE)</f>
        <v>0.98630473140164487</v>
      </c>
      <c r="K33" s="409">
        <f>VLOOKUP($C$33,[2]!ACHIEV,MATCH(K$11,$E$11:$Y$11,0)+2,FALSE)</f>
        <v>0.99454690808701873</v>
      </c>
      <c r="L33" s="409">
        <f>VLOOKUP($C$33,[2]!ACHIEV,MATCH(L$11,$E$11:$Y$11,0)+2,FALSE)</f>
        <v>0.99798114837259111</v>
      </c>
      <c r="M33" s="409">
        <f>VLOOKUP($C$33,[2]!ACHIEV,MATCH(M$11,$E$11:$Y$11,0)+2,FALSE)</f>
        <v>0.99930201002088814</v>
      </c>
      <c r="N33" s="409">
        <f>VLOOKUP($C$33,[2]!ACHIEV,MATCH(N$11,$E$11:$Y$11,0)+2,FALSE)</f>
        <v>0.99977374632385152</v>
      </c>
      <c r="O33" s="409">
        <f>VLOOKUP($C$33,[2]!ACHIEV,MATCH(O$11,$E$11:$Y$11,0)+2,FALSE)</f>
        <v>0.99993099175817246</v>
      </c>
      <c r="P33" s="409">
        <f>VLOOKUP($C$33,[2]!ACHIEV,MATCH(P$11,$E$11:$Y$11,0)+2,FALSE)</f>
        <v>0.99998013095639793</v>
      </c>
      <c r="Q33" s="409">
        <f>VLOOKUP($C$33,[2]!ACHIEV,MATCH(Q$11,$E$11:$Y$11,0)+2,FALSE)</f>
        <v>0.9999945836617582</v>
      </c>
      <c r="R33" s="409">
        <f>VLOOKUP($C$33,[2]!ACHIEV,MATCH(R$11,$E$11:$Y$11,0)+2,FALSE)</f>
        <v>0.99999859830213611</v>
      </c>
      <c r="S33" s="409">
        <f>VLOOKUP($C$33,[2]!ACHIEV,MATCH(S$11,$E$11:$Y$11,0)+2,FALSE)</f>
        <v>0.99999965478644626</v>
      </c>
      <c r="T33" s="409">
        <f>VLOOKUP($C$33,[2]!ACHIEV,MATCH(T$11,$E$11:$Y$11,0)+2,FALSE)</f>
        <v>0.99999991890752382</v>
      </c>
      <c r="U33" s="409">
        <f>VLOOKUP($C$33,[2]!ACHIEV,MATCH(U$11,$E$11:$Y$11,0)+2,FALSE)</f>
        <v>0.99999998179349459</v>
      </c>
      <c r="V33" s="409">
        <f>VLOOKUP($C$33,[2]!ACHIEV,MATCH(V$11,$E$11:$Y$11,0)+2,FALSE)</f>
        <v>0.99999999608576073</v>
      </c>
      <c r="W33" s="409">
        <f>VLOOKUP($C$33,[2]!ACHIEV,MATCH(W$11,$E$11:$Y$11,0)+2,FALSE)</f>
        <v>0.99999999919277494</v>
      </c>
      <c r="X33" s="409">
        <f>VLOOKUP($C$33,[2]!ACHIEV,MATCH(X$11,$E$11:$Y$11,0)+2,FALSE)</f>
        <v>0.9999999998400696</v>
      </c>
      <c r="Y33" s="410" t="s">
        <v>903</v>
      </c>
    </row>
    <row r="34" spans="1:27">
      <c r="A34" s="318"/>
      <c r="B34" s="246">
        <f>VLOOKUP(C34,WattClass,2,FALSE)</f>
        <v>0.54</v>
      </c>
      <c r="C34" s="34" t="s">
        <v>664</v>
      </c>
      <c r="E34" s="166">
        <f t="shared" ref="E34:X34" si="11">E22*E$33*$Y$12</f>
        <v>1597.9844715920619</v>
      </c>
      <c r="F34" s="166">
        <f t="shared" si="11"/>
        <v>2000.02943831984</v>
      </c>
      <c r="G34" s="166">
        <f t="shared" si="11"/>
        <v>2285.2484291361902</v>
      </c>
      <c r="H34" s="166">
        <f t="shared" si="11"/>
        <v>2435.4491414633326</v>
      </c>
      <c r="I34" s="166">
        <f t="shared" si="11"/>
        <v>2493.1473836159616</v>
      </c>
      <c r="J34" s="166">
        <f t="shared" si="11"/>
        <v>2491.9757867099293</v>
      </c>
      <c r="K34" s="166">
        <f t="shared" si="11"/>
        <v>2462.6808176527511</v>
      </c>
      <c r="L34" s="166">
        <f t="shared" si="11"/>
        <v>2421.3772244286283</v>
      </c>
      <c r="M34" s="166">
        <f t="shared" si="11"/>
        <v>2377.4897654898864</v>
      </c>
      <c r="N34" s="166">
        <f t="shared" si="11"/>
        <v>2338.4985276699354</v>
      </c>
      <c r="O34" s="166">
        <f t="shared" si="11"/>
        <v>2306.3250525942553</v>
      </c>
      <c r="P34" s="166">
        <f t="shared" si="11"/>
        <v>2281.9641278643617</v>
      </c>
      <c r="Q34" s="166">
        <f t="shared" si="11"/>
        <v>2260.8875448969684</v>
      </c>
      <c r="R34" s="166">
        <f t="shared" si="11"/>
        <v>2239.9280667782587</v>
      </c>
      <c r="S34" s="166">
        <f t="shared" si="11"/>
        <v>2220.1276034015564</v>
      </c>
      <c r="T34" s="166">
        <f t="shared" si="11"/>
        <v>2202.1893237389581</v>
      </c>
      <c r="U34" s="166">
        <f t="shared" si="11"/>
        <v>2186.1145641835305</v>
      </c>
      <c r="V34" s="166">
        <f t="shared" si="11"/>
        <v>2171.6380223597025</v>
      </c>
      <c r="W34" s="166">
        <f t="shared" si="11"/>
        <v>2158.560687657533</v>
      </c>
      <c r="X34" s="166">
        <f t="shared" si="11"/>
        <v>2149.4696799762382</v>
      </c>
      <c r="Y34" s="412">
        <f t="shared" ref="Y34:Y38" si="12">SUM(E34:X34)</f>
        <v>45081.085659529876</v>
      </c>
    </row>
    <row r="35" spans="1:27">
      <c r="A35" s="318"/>
      <c r="B35" s="246">
        <f>VLOOKUP(C35,WattClass,2,FALSE)</f>
        <v>0.14000000000000001</v>
      </c>
      <c r="C35" s="34" t="s">
        <v>666</v>
      </c>
      <c r="E35" s="166">
        <f t="shared" ref="E35:X35" si="13">E23*E$33*$Y$12</f>
        <v>414.29227041275686</v>
      </c>
      <c r="F35" s="166">
        <f t="shared" si="13"/>
        <v>518.52615067551415</v>
      </c>
      <c r="G35" s="166">
        <f t="shared" si="13"/>
        <v>592.4718149612346</v>
      </c>
      <c r="H35" s="166">
        <f t="shared" si="13"/>
        <v>631.41274037938263</v>
      </c>
      <c r="I35" s="166">
        <f t="shared" si="13"/>
        <v>646.37154390043452</v>
      </c>
      <c r="J35" s="166">
        <f t="shared" si="13"/>
        <v>646.0677965544262</v>
      </c>
      <c r="K35" s="166">
        <f t="shared" si="13"/>
        <v>638.47280457663931</v>
      </c>
      <c r="L35" s="166">
        <f t="shared" si="13"/>
        <v>627.76446559260739</v>
      </c>
      <c r="M35" s="166">
        <f t="shared" si="13"/>
        <v>616.38623549737804</v>
      </c>
      <c r="N35" s="166">
        <f t="shared" si="13"/>
        <v>606.2773960625758</v>
      </c>
      <c r="O35" s="166">
        <f t="shared" si="13"/>
        <v>597.93612474665883</v>
      </c>
      <c r="P35" s="166">
        <f t="shared" si="13"/>
        <v>591.62032944631596</v>
      </c>
      <c r="Q35" s="166">
        <f t="shared" si="13"/>
        <v>586.15603015847319</v>
      </c>
      <c r="R35" s="166">
        <f t="shared" si="13"/>
        <v>580.72209138695587</v>
      </c>
      <c r="S35" s="166">
        <f t="shared" si="13"/>
        <v>575.58863791892202</v>
      </c>
      <c r="T35" s="166">
        <f t="shared" si="13"/>
        <v>570.93797282121136</v>
      </c>
      <c r="U35" s="166">
        <f t="shared" si="13"/>
        <v>566.77044256610054</v>
      </c>
      <c r="V35" s="166">
        <f t="shared" si="13"/>
        <v>563.01726505621923</v>
      </c>
      <c r="W35" s="166">
        <f t="shared" si="13"/>
        <v>559.6268449482493</v>
      </c>
      <c r="X35" s="166">
        <f t="shared" si="13"/>
        <v>557.26991703087663</v>
      </c>
      <c r="Y35" s="412">
        <f t="shared" si="12"/>
        <v>11687.688874692933</v>
      </c>
    </row>
    <row r="36" spans="1:27">
      <c r="A36" s="318"/>
      <c r="B36" s="246">
        <f>VLOOKUP(C36,WattClass,2,FALSE)</f>
        <v>0.13100000000000001</v>
      </c>
      <c r="C36" s="34" t="s">
        <v>665</v>
      </c>
      <c r="E36" s="166">
        <f t="shared" ref="E36:X36" si="14">E24*E$33*$Y$12</f>
        <v>387.65919588622239</v>
      </c>
      <c r="F36" s="166">
        <f t="shared" si="14"/>
        <v>485.19232670351676</v>
      </c>
      <c r="G36" s="166">
        <f t="shared" si="14"/>
        <v>554.38434114229801</v>
      </c>
      <c r="H36" s="166">
        <f t="shared" si="14"/>
        <v>590.82192135499372</v>
      </c>
      <c r="I36" s="166">
        <f t="shared" si="14"/>
        <v>604.8190875068351</v>
      </c>
      <c r="J36" s="166">
        <f t="shared" si="14"/>
        <v>604.5348667759273</v>
      </c>
      <c r="K36" s="166">
        <f t="shared" si="14"/>
        <v>597.42812428242678</v>
      </c>
      <c r="L36" s="166">
        <f t="shared" si="14"/>
        <v>587.40817851879694</v>
      </c>
      <c r="M36" s="166">
        <f t="shared" si="14"/>
        <v>576.76140607254649</v>
      </c>
      <c r="N36" s="166">
        <f t="shared" si="14"/>
        <v>567.30242060141018</v>
      </c>
      <c r="O36" s="166">
        <f t="shared" si="14"/>
        <v>559.49737387008781</v>
      </c>
      <c r="P36" s="166">
        <f t="shared" si="14"/>
        <v>553.58759398191</v>
      </c>
      <c r="Q36" s="166">
        <f t="shared" si="14"/>
        <v>548.47457107685705</v>
      </c>
      <c r="R36" s="166">
        <f t="shared" si="14"/>
        <v>543.3899569406517</v>
      </c>
      <c r="S36" s="166">
        <f t="shared" si="14"/>
        <v>538.58651119556271</v>
      </c>
      <c r="T36" s="166">
        <f t="shared" si="14"/>
        <v>534.23481742556191</v>
      </c>
      <c r="U36" s="166">
        <f t="shared" si="14"/>
        <v>530.33519982970836</v>
      </c>
      <c r="V36" s="166">
        <f t="shared" si="14"/>
        <v>526.82329801689082</v>
      </c>
      <c r="W36" s="166">
        <f t="shared" si="14"/>
        <v>523.65083348729036</v>
      </c>
      <c r="X36" s="166">
        <f t="shared" si="14"/>
        <v>521.44542236460597</v>
      </c>
      <c r="Y36" s="412">
        <f t="shared" si="12"/>
        <v>10936.3374470341</v>
      </c>
    </row>
    <row r="37" spans="1:27">
      <c r="A37" s="318"/>
      <c r="B37" s="246">
        <f>VLOOKUP(C37,WattClass,2,FALSE)</f>
        <v>0.17499999999999999</v>
      </c>
      <c r="C37" s="34" t="s">
        <v>667</v>
      </c>
      <c r="E37" s="166">
        <f t="shared" ref="E37:X37" si="15">E25*E$33*$Y$12</f>
        <v>517.86533801594589</v>
      </c>
      <c r="F37" s="166">
        <f t="shared" si="15"/>
        <v>648.15768834439245</v>
      </c>
      <c r="G37" s="166">
        <f t="shared" si="15"/>
        <v>740.58976870154311</v>
      </c>
      <c r="H37" s="166">
        <f t="shared" si="15"/>
        <v>789.2659254742282</v>
      </c>
      <c r="I37" s="166">
        <f t="shared" si="15"/>
        <v>807.96442987554303</v>
      </c>
      <c r="J37" s="166">
        <f t="shared" si="15"/>
        <v>807.58474569303257</v>
      </c>
      <c r="K37" s="166">
        <f t="shared" si="15"/>
        <v>798.09100572079899</v>
      </c>
      <c r="L37" s="166">
        <f t="shared" si="15"/>
        <v>784.70558199075924</v>
      </c>
      <c r="M37" s="166">
        <f t="shared" si="15"/>
        <v>770.48279437172232</v>
      </c>
      <c r="N37" s="166">
        <f t="shared" si="15"/>
        <v>757.84674507821967</v>
      </c>
      <c r="O37" s="166">
        <f t="shared" si="15"/>
        <v>747.42015593332349</v>
      </c>
      <c r="P37" s="166">
        <f t="shared" si="15"/>
        <v>739.52541180789501</v>
      </c>
      <c r="Q37" s="166">
        <f t="shared" si="15"/>
        <v>732.69503769809148</v>
      </c>
      <c r="R37" s="166">
        <f t="shared" si="15"/>
        <v>725.90261423369475</v>
      </c>
      <c r="S37" s="166">
        <f t="shared" si="15"/>
        <v>719.48579739865238</v>
      </c>
      <c r="T37" s="166">
        <f t="shared" si="15"/>
        <v>713.67246602651403</v>
      </c>
      <c r="U37" s="166">
        <f t="shared" si="15"/>
        <v>708.46305320762553</v>
      </c>
      <c r="V37" s="166">
        <f t="shared" si="15"/>
        <v>703.77158132027398</v>
      </c>
      <c r="W37" s="166">
        <f t="shared" si="15"/>
        <v>699.53355618531157</v>
      </c>
      <c r="X37" s="166">
        <f t="shared" si="15"/>
        <v>696.58739628859564</v>
      </c>
      <c r="Y37" s="412">
        <f t="shared" si="12"/>
        <v>14609.611093366164</v>
      </c>
    </row>
    <row r="38" spans="1:27">
      <c r="A38" s="318"/>
      <c r="B38" s="246">
        <f>VLOOKUP(C38,WattClass,2,FALSE)</f>
        <v>1.4E-2</v>
      </c>
      <c r="C38" s="34" t="s">
        <v>668</v>
      </c>
      <c r="E38" s="166">
        <f t="shared" ref="E38:X38" si="16">E26*E$33*$Y$12</f>
        <v>41.429227041275681</v>
      </c>
      <c r="F38" s="166">
        <f t="shared" si="16"/>
        <v>51.852615067551405</v>
      </c>
      <c r="G38" s="166">
        <f t="shared" si="16"/>
        <v>59.247181496123453</v>
      </c>
      <c r="H38" s="166">
        <f t="shared" si="16"/>
        <v>63.141274037938253</v>
      </c>
      <c r="I38" s="166">
        <f t="shared" si="16"/>
        <v>64.637154390043463</v>
      </c>
      <c r="J38" s="166">
        <f t="shared" si="16"/>
        <v>64.606779655442608</v>
      </c>
      <c r="K38" s="166">
        <f t="shared" si="16"/>
        <v>63.847280457663913</v>
      </c>
      <c r="L38" s="166">
        <f t="shared" si="16"/>
        <v>62.776446559260741</v>
      </c>
      <c r="M38" s="166">
        <f t="shared" si="16"/>
        <v>61.638623549737794</v>
      </c>
      <c r="N38" s="166">
        <f t="shared" si="16"/>
        <v>60.627739606257578</v>
      </c>
      <c r="O38" s="166">
        <f t="shared" si="16"/>
        <v>59.793612474665885</v>
      </c>
      <c r="P38" s="166">
        <f t="shared" si="16"/>
        <v>59.162032944631605</v>
      </c>
      <c r="Q38" s="166">
        <f t="shared" si="16"/>
        <v>58.61560301584732</v>
      </c>
      <c r="R38" s="166">
        <f t="shared" si="16"/>
        <v>58.072209138695584</v>
      </c>
      <c r="S38" s="166">
        <f t="shared" si="16"/>
        <v>57.558863791892193</v>
      </c>
      <c r="T38" s="166">
        <f t="shared" si="16"/>
        <v>57.09379728212113</v>
      </c>
      <c r="U38" s="166">
        <f t="shared" si="16"/>
        <v>56.677044256610046</v>
      </c>
      <c r="V38" s="166">
        <f t="shared" si="16"/>
        <v>56.301726505621914</v>
      </c>
      <c r="W38" s="166">
        <f t="shared" si="16"/>
        <v>55.962684494824927</v>
      </c>
      <c r="X38" s="166">
        <f t="shared" si="16"/>
        <v>55.726991703087656</v>
      </c>
      <c r="Y38" s="412">
        <f t="shared" si="12"/>
        <v>1168.7688874692933</v>
      </c>
    </row>
    <row r="39" spans="1:27">
      <c r="E39" s="166"/>
      <c r="F39" s="166"/>
      <c r="G39" s="166"/>
      <c r="H39" s="166"/>
      <c r="I39" s="166"/>
      <c r="J39" s="166"/>
      <c r="K39" s="166"/>
      <c r="L39" s="166"/>
      <c r="M39" s="166"/>
      <c r="N39" s="166"/>
      <c r="O39" s="166"/>
      <c r="P39" s="166"/>
      <c r="Q39" s="166"/>
      <c r="R39" s="166"/>
      <c r="S39" s="166"/>
      <c r="T39" s="166"/>
      <c r="U39" s="166"/>
      <c r="V39" s="166"/>
      <c r="W39" s="166"/>
      <c r="X39" s="166"/>
      <c r="Y39" s="166"/>
    </row>
    <row r="40" spans="1:27">
      <c r="C40" s="106" t="s">
        <v>901</v>
      </c>
      <c r="E40" s="166">
        <f>SUM(E34:E38)</f>
        <v>2959.2305029482627</v>
      </c>
      <c r="F40" s="166">
        <f t="shared" ref="F40:X40" si="17">SUM(F34:F38)</f>
        <v>3703.7582191108149</v>
      </c>
      <c r="G40" s="166">
        <f t="shared" si="17"/>
        <v>4231.9415354373896</v>
      </c>
      <c r="H40" s="166">
        <f t="shared" si="17"/>
        <v>4510.0910027098753</v>
      </c>
      <c r="I40" s="166">
        <f t="shared" si="17"/>
        <v>4616.9395992888176</v>
      </c>
      <c r="J40" s="166">
        <f t="shared" si="17"/>
        <v>4614.7699753887573</v>
      </c>
      <c r="K40" s="166">
        <f t="shared" si="17"/>
        <v>4560.5200326902805</v>
      </c>
      <c r="L40" s="166">
        <f t="shared" si="17"/>
        <v>4484.0318970900526</v>
      </c>
      <c r="M40" s="166">
        <f t="shared" si="17"/>
        <v>4402.7588249812707</v>
      </c>
      <c r="N40" s="166">
        <f t="shared" si="17"/>
        <v>4330.5528290183993</v>
      </c>
      <c r="O40" s="166">
        <f t="shared" si="17"/>
        <v>4270.9723196189916</v>
      </c>
      <c r="P40" s="166">
        <f t="shared" si="17"/>
        <v>4225.8594960451137</v>
      </c>
      <c r="Q40" s="166">
        <f t="shared" si="17"/>
        <v>4186.8287868462376</v>
      </c>
      <c r="R40" s="166">
        <f t="shared" si="17"/>
        <v>4148.0149384782562</v>
      </c>
      <c r="S40" s="166">
        <f t="shared" si="17"/>
        <v>4111.347413706585</v>
      </c>
      <c r="T40" s="166">
        <f t="shared" si="17"/>
        <v>4078.1283772943666</v>
      </c>
      <c r="U40" s="166">
        <f t="shared" si="17"/>
        <v>4048.3603040435751</v>
      </c>
      <c r="V40" s="166">
        <f t="shared" si="17"/>
        <v>4021.5518932587083</v>
      </c>
      <c r="W40" s="166">
        <f t="shared" si="17"/>
        <v>3997.3346067732095</v>
      </c>
      <c r="X40" s="166">
        <f t="shared" si="17"/>
        <v>3980.4994073634043</v>
      </c>
      <c r="Y40" s="412">
        <f>SUM(E40:X40)</f>
        <v>83483.491962092361</v>
      </c>
      <c r="AA40" s="11" t="s">
        <v>978</v>
      </c>
    </row>
    <row r="42" spans="1:27" ht="15">
      <c r="A42" s="334" t="s">
        <v>682</v>
      </c>
      <c r="D42" s="422" t="s">
        <v>37</v>
      </c>
      <c r="E42" s="11" t="s">
        <v>172</v>
      </c>
    </row>
    <row r="43" spans="1:27" ht="15">
      <c r="A43" s="406"/>
      <c r="B43" s="406" t="s">
        <v>372</v>
      </c>
      <c r="C43" s="406"/>
      <c r="D43" s="406">
        <v>1</v>
      </c>
      <c r="E43" s="407">
        <f>E11</f>
        <v>2016</v>
      </c>
      <c r="F43" s="407">
        <f t="shared" ref="F43:X43" si="18">F11</f>
        <v>2017</v>
      </c>
      <c r="G43" s="407">
        <f t="shared" si="18"/>
        <v>2018</v>
      </c>
      <c r="H43" s="407">
        <f t="shared" si="18"/>
        <v>2019</v>
      </c>
      <c r="I43" s="407">
        <f t="shared" si="18"/>
        <v>2020</v>
      </c>
      <c r="J43" s="407">
        <f t="shared" si="18"/>
        <v>2021</v>
      </c>
      <c r="K43" s="407">
        <f t="shared" si="18"/>
        <v>2022</v>
      </c>
      <c r="L43" s="407">
        <f t="shared" si="18"/>
        <v>2023</v>
      </c>
      <c r="M43" s="407">
        <f t="shared" si="18"/>
        <v>2024</v>
      </c>
      <c r="N43" s="407">
        <f t="shared" si="18"/>
        <v>2025</v>
      </c>
      <c r="O43" s="407">
        <f t="shared" si="18"/>
        <v>2026</v>
      </c>
      <c r="P43" s="407">
        <f t="shared" si="18"/>
        <v>2027</v>
      </c>
      <c r="Q43" s="407">
        <f t="shared" si="18"/>
        <v>2028</v>
      </c>
      <c r="R43" s="407">
        <f t="shared" si="18"/>
        <v>2029</v>
      </c>
      <c r="S43" s="407">
        <f t="shared" si="18"/>
        <v>2030</v>
      </c>
      <c r="T43" s="407">
        <f t="shared" si="18"/>
        <v>2031</v>
      </c>
      <c r="U43" s="407">
        <f t="shared" si="18"/>
        <v>2032</v>
      </c>
      <c r="V43" s="407">
        <f t="shared" si="18"/>
        <v>2033</v>
      </c>
      <c r="W43" s="407">
        <f t="shared" si="18"/>
        <v>2034</v>
      </c>
      <c r="X43" s="407">
        <f t="shared" si="18"/>
        <v>2035</v>
      </c>
      <c r="Y43" s="413" t="s">
        <v>973</v>
      </c>
    </row>
    <row r="44" spans="1:27" ht="15">
      <c r="A44" s="406" t="s">
        <v>663</v>
      </c>
      <c r="B44" s="406" t="s">
        <v>683</v>
      </c>
      <c r="C44" s="406" t="s">
        <v>998</v>
      </c>
      <c r="D44" s="406" t="s">
        <v>999</v>
      </c>
      <c r="E44" s="408" t="str">
        <f>CONCATENATE("aMW_",E$11)</f>
        <v>aMW_2016</v>
      </c>
      <c r="F44" s="408" t="str">
        <f t="shared" ref="F44:X44" si="19">CONCATENATE("aMW_",F$11)</f>
        <v>aMW_2017</v>
      </c>
      <c r="G44" s="408" t="str">
        <f t="shared" si="19"/>
        <v>aMW_2018</v>
      </c>
      <c r="H44" s="408" t="str">
        <f t="shared" si="19"/>
        <v>aMW_2019</v>
      </c>
      <c r="I44" s="408" t="str">
        <f t="shared" si="19"/>
        <v>aMW_2020</v>
      </c>
      <c r="J44" s="408" t="str">
        <f t="shared" si="19"/>
        <v>aMW_2021</v>
      </c>
      <c r="K44" s="408" t="str">
        <f t="shared" si="19"/>
        <v>aMW_2022</v>
      </c>
      <c r="L44" s="408" t="str">
        <f t="shared" si="19"/>
        <v>aMW_2023</v>
      </c>
      <c r="M44" s="408" t="str">
        <f t="shared" si="19"/>
        <v>aMW_2024</v>
      </c>
      <c r="N44" s="408" t="str">
        <f t="shared" si="19"/>
        <v>aMW_2025</v>
      </c>
      <c r="O44" s="408" t="str">
        <f t="shared" si="19"/>
        <v>aMW_2026</v>
      </c>
      <c r="P44" s="408" t="str">
        <f t="shared" si="19"/>
        <v>aMW_2027</v>
      </c>
      <c r="Q44" s="408" t="str">
        <f t="shared" si="19"/>
        <v>aMW_2028</v>
      </c>
      <c r="R44" s="408" t="str">
        <f t="shared" si="19"/>
        <v>aMW_2029</v>
      </c>
      <c r="S44" s="408" t="str">
        <f t="shared" si="19"/>
        <v>aMW_2030</v>
      </c>
      <c r="T44" s="408" t="str">
        <f t="shared" si="19"/>
        <v>aMW_2031</v>
      </c>
      <c r="U44" s="408" t="str">
        <f t="shared" si="19"/>
        <v>aMW_2032</v>
      </c>
      <c r="V44" s="408" t="str">
        <f t="shared" si="19"/>
        <v>aMW_2033</v>
      </c>
      <c r="W44" s="408" t="str">
        <f t="shared" si="19"/>
        <v>aMW_2034</v>
      </c>
      <c r="X44" s="408" t="str">
        <f t="shared" si="19"/>
        <v>aMW_2035</v>
      </c>
      <c r="Y44" s="414" t="s">
        <v>973</v>
      </c>
    </row>
    <row r="45" spans="1:27">
      <c r="A45" s="431">
        <f>VLOOKUP(C45,M_Input_Out!$A$1:$AM$3999,3,FALSE)</f>
        <v>345.42828990947618</v>
      </c>
      <c r="B45" s="432">
        <f>VLOOKUP(C45,M_Input_Out!$A$1:$AM$3999,11,FALSE)</f>
        <v>-117.67195201412203</v>
      </c>
      <c r="C45" s="11" t="str">
        <f>C34</f>
        <v>Streetlight - HPS 100W - New</v>
      </c>
      <c r="E45" s="170">
        <f t="shared" ref="E45:X45" si="20">E34*$D$43*$A45/8760/1000</f>
        <v>6.3012447868030119E-2</v>
      </c>
      <c r="F45" s="170">
        <f t="shared" si="20"/>
        <v>7.8866067197195494E-2</v>
      </c>
      <c r="G45" s="170">
        <f t="shared" si="20"/>
        <v>9.0112951700323171E-2</v>
      </c>
      <c r="H45" s="170">
        <f t="shared" si="20"/>
        <v>9.6035734257669064E-2</v>
      </c>
      <c r="I45" s="170">
        <f t="shared" si="20"/>
        <v>9.8310917490267852E-2</v>
      </c>
      <c r="J45" s="170">
        <f t="shared" si="20"/>
        <v>9.8264718550117869E-2</v>
      </c>
      <c r="K45" s="170">
        <f t="shared" si="20"/>
        <v>9.7109546054184981E-2</v>
      </c>
      <c r="L45" s="170">
        <f t="shared" si="20"/>
        <v>9.5480844047960617E-2</v>
      </c>
      <c r="M45" s="170">
        <f t="shared" si="20"/>
        <v>9.3750253877905587E-2</v>
      </c>
      <c r="N45" s="170">
        <f t="shared" si="20"/>
        <v>9.2212733717905671E-2</v>
      </c>
      <c r="O45" s="170">
        <f t="shared" si="20"/>
        <v>9.0944054668152544E-2</v>
      </c>
      <c r="P45" s="170">
        <f t="shared" si="20"/>
        <v>8.9983443644173017E-2</v>
      </c>
      <c r="Q45" s="170">
        <f t="shared" si="20"/>
        <v>8.9152342272990154E-2</v>
      </c>
      <c r="R45" s="170">
        <f t="shared" si="20"/>
        <v>8.8325858633270873E-2</v>
      </c>
      <c r="S45" s="170">
        <f t="shared" si="20"/>
        <v>8.7545077788107689E-2</v>
      </c>
      <c r="T45" s="170">
        <f t="shared" si="20"/>
        <v>8.6837727415074673E-2</v>
      </c>
      <c r="U45" s="170">
        <f t="shared" si="20"/>
        <v>8.6203860211428868E-2</v>
      </c>
      <c r="V45" s="170">
        <f t="shared" si="20"/>
        <v>8.5633014653665379E-2</v>
      </c>
      <c r="W45" s="170">
        <f t="shared" si="20"/>
        <v>8.5117343265224257E-2</v>
      </c>
      <c r="X45" s="170">
        <f t="shared" si="20"/>
        <v>8.4758862530417922E-2</v>
      </c>
      <c r="Y45" s="415">
        <f>SUM(E45:X45)</f>
        <v>1.7776577998440659</v>
      </c>
      <c r="AA45" s="266"/>
    </row>
    <row r="46" spans="1:27">
      <c r="A46" s="431">
        <f>VLOOKUP(C46,M_Input_Out!$A$1:$AM$3999,3,FALSE)</f>
        <v>754.1040131826594</v>
      </c>
      <c r="B46" s="432">
        <f>VLOOKUP(C46,M_Input_Out!$A$1:$AM$3999,11,FALSE)</f>
        <v>-62.326259680304034</v>
      </c>
      <c r="C46" s="11" t="str">
        <f>C35</f>
        <v>Streetlight - HPS 250W - New</v>
      </c>
      <c r="E46" s="170">
        <f t="shared" ref="E46:X46" si="21">E35*$D$43*$A46/8760/1000</f>
        <v>3.5664322345755187E-2</v>
      </c>
      <c r="F46" s="170">
        <f t="shared" si="21"/>
        <v>4.4637288945726203E-2</v>
      </c>
      <c r="G46" s="170">
        <f t="shared" si="21"/>
        <v>5.1002896502269524E-2</v>
      </c>
      <c r="H46" s="170">
        <f t="shared" si="21"/>
        <v>5.4355123458305142E-2</v>
      </c>
      <c r="I46" s="170">
        <f t="shared" si="21"/>
        <v>5.5642851057350361E-2</v>
      </c>
      <c r="J46" s="170">
        <f t="shared" si="21"/>
        <v>5.5616702987416743E-2</v>
      </c>
      <c r="K46" s="170">
        <f t="shared" si="21"/>
        <v>5.4962888611784423E-2</v>
      </c>
      <c r="L46" s="170">
        <f t="shared" si="21"/>
        <v>5.4041061967677259E-2</v>
      </c>
      <c r="M46" s="170">
        <f t="shared" si="21"/>
        <v>5.3061567792137512E-2</v>
      </c>
      <c r="N46" s="170">
        <f t="shared" si="21"/>
        <v>5.219134902656633E-2</v>
      </c>
      <c r="O46" s="170">
        <f t="shared" si="21"/>
        <v>5.1473291244103048E-2</v>
      </c>
      <c r="P46" s="170">
        <f t="shared" si="21"/>
        <v>5.0929596428757301E-2</v>
      </c>
      <c r="Q46" s="170">
        <f t="shared" si="21"/>
        <v>5.0459202590607377E-2</v>
      </c>
      <c r="R46" s="170">
        <f t="shared" si="21"/>
        <v>4.9991422335471519E-2</v>
      </c>
      <c r="S46" s="170">
        <f t="shared" si="21"/>
        <v>4.954950933755705E-2</v>
      </c>
      <c r="T46" s="170">
        <f t="shared" si="21"/>
        <v>4.9149157144160689E-2</v>
      </c>
      <c r="U46" s="170">
        <f t="shared" si="21"/>
        <v>4.8790395581325155E-2</v>
      </c>
      <c r="V46" s="170">
        <f t="shared" si="21"/>
        <v>4.8467303546805937E-2</v>
      </c>
      <c r="W46" s="170">
        <f t="shared" si="21"/>
        <v>4.8175439458929756E-2</v>
      </c>
      <c r="X46" s="170">
        <f t="shared" si="21"/>
        <v>4.7972543477049281E-2</v>
      </c>
      <c r="Y46" s="415">
        <f t="shared" ref="Y46:Y49" si="22">SUM(E46:X46)</f>
        <v>1.0061339138397558</v>
      </c>
      <c r="AA46" s="266"/>
    </row>
    <row r="47" spans="1:27">
      <c r="A47" s="431">
        <f>VLOOKUP(C47,M_Input_Out!$A$1:$AM$3999,3,FALSE)</f>
        <v>462.19278227324287</v>
      </c>
      <c r="B47" s="432">
        <f>VLOOKUP(C47,M_Input_Out!$A$1:$AM$3999,11,FALSE)</f>
        <v>-90.462972128486626</v>
      </c>
      <c r="C47" s="11" t="str">
        <f>C36</f>
        <v>Streetlight - MH 200W  - New</v>
      </c>
      <c r="E47" s="170">
        <f t="shared" ref="E47:X47" si="23">E36*$D$43*$A47/8760/1000</f>
        <v>2.045357104114854E-2</v>
      </c>
      <c r="F47" s="170">
        <f t="shared" si="23"/>
        <v>2.5599588061270166E-2</v>
      </c>
      <c r="G47" s="170">
        <f t="shared" si="23"/>
        <v>2.9250278662246273E-2</v>
      </c>
      <c r="H47" s="170">
        <f t="shared" si="23"/>
        <v>3.1172788545557949E-2</v>
      </c>
      <c r="I47" s="170">
        <f t="shared" si="23"/>
        <v>3.1911303290724669E-2</v>
      </c>
      <c r="J47" s="170">
        <f t="shared" si="23"/>
        <v>3.189630731236872E-2</v>
      </c>
      <c r="K47" s="170">
        <f t="shared" si="23"/>
        <v>3.1521343261458855E-2</v>
      </c>
      <c r="L47" s="170">
        <f t="shared" si="23"/>
        <v>3.0992673557038872E-2</v>
      </c>
      <c r="M47" s="170">
        <f t="shared" si="23"/>
        <v>3.0430931390467798E-2</v>
      </c>
      <c r="N47" s="170">
        <f t="shared" si="23"/>
        <v>2.9931858923300369E-2</v>
      </c>
      <c r="O47" s="170">
        <f t="shared" si="23"/>
        <v>2.9520051130546652E-2</v>
      </c>
      <c r="P47" s="170">
        <f t="shared" si="23"/>
        <v>2.9208240901192846E-2</v>
      </c>
      <c r="Q47" s="170">
        <f t="shared" si="23"/>
        <v>2.8938468951157086E-2</v>
      </c>
      <c r="R47" s="170">
        <f t="shared" si="23"/>
        <v>2.8670195897001993E-2</v>
      </c>
      <c r="S47" s="170">
        <f t="shared" si="23"/>
        <v>2.8416757774465319E-2</v>
      </c>
      <c r="T47" s="170">
        <f t="shared" si="23"/>
        <v>2.8187154869082007E-2</v>
      </c>
      <c r="U47" s="170">
        <f t="shared" si="23"/>
        <v>2.7981404286156298E-2</v>
      </c>
      <c r="V47" s="170">
        <f t="shared" si="23"/>
        <v>2.7796110259907823E-2</v>
      </c>
      <c r="W47" s="170">
        <f t="shared" si="23"/>
        <v>2.7628725533012939E-2</v>
      </c>
      <c r="X47" s="170">
        <f t="shared" si="23"/>
        <v>2.7512364219902226E-2</v>
      </c>
      <c r="Y47" s="415">
        <f t="shared" si="22"/>
        <v>0.57702011786800755</v>
      </c>
      <c r="AA47" s="266"/>
    </row>
    <row r="48" spans="1:27">
      <c r="A48" s="431">
        <f>VLOOKUP(C48,M_Input_Out!$A$1:$AM$3999,3,FALSE)</f>
        <v>1352.5220365469634</v>
      </c>
      <c r="B48" s="432">
        <f>VLOOKUP(C48,M_Input_Out!$A$1:$AM$3999,11,FALSE)</f>
        <v>-32.721967273198892</v>
      </c>
      <c r="C48" s="11" t="str">
        <f>C37</f>
        <v>Streetlight - MH 400W  - New</v>
      </c>
      <c r="E48" s="170">
        <f t="shared" ref="E48:X48" si="24">E37*$D$43*$A48/8760/1000</f>
        <v>7.9957109775160823E-2</v>
      </c>
      <c r="F48" s="170">
        <f t="shared" si="24"/>
        <v>0.10007392199122485</v>
      </c>
      <c r="G48" s="170">
        <f t="shared" si="24"/>
        <v>0.11434520344863648</v>
      </c>
      <c r="H48" s="170">
        <f t="shared" si="24"/>
        <v>0.12186068001136151</v>
      </c>
      <c r="I48" s="170">
        <f t="shared" si="24"/>
        <v>0.12474768220922096</v>
      </c>
      <c r="J48" s="170">
        <f t="shared" si="24"/>
        <v>0.12468905992340204</v>
      </c>
      <c r="K48" s="170">
        <f t="shared" si="24"/>
        <v>0.123223250274807</v>
      </c>
      <c r="L48" s="170">
        <f t="shared" si="24"/>
        <v>0.12115657441140547</v>
      </c>
      <c r="M48" s="170">
        <f t="shared" si="24"/>
        <v>0.11896061166301794</v>
      </c>
      <c r="N48" s="170">
        <f t="shared" si="24"/>
        <v>0.11700963733375355</v>
      </c>
      <c r="O48" s="170">
        <f t="shared" si="24"/>
        <v>0.1153997981117794</v>
      </c>
      <c r="P48" s="170">
        <f t="shared" si="24"/>
        <v>0.11418086941285913</v>
      </c>
      <c r="Q48" s="170">
        <f t="shared" si="24"/>
        <v>0.11312627677571652</v>
      </c>
      <c r="R48" s="170">
        <f t="shared" si="24"/>
        <v>0.11207754362307323</v>
      </c>
      <c r="S48" s="170">
        <f t="shared" si="24"/>
        <v>0.11108680319226498</v>
      </c>
      <c r="T48" s="170">
        <f t="shared" si="24"/>
        <v>0.11018923940384409</v>
      </c>
      <c r="U48" s="170">
        <f t="shared" si="24"/>
        <v>0.10938491912587413</v>
      </c>
      <c r="V48" s="170">
        <f t="shared" si="24"/>
        <v>0.10866056762912941</v>
      </c>
      <c r="W48" s="170">
        <f t="shared" si="24"/>
        <v>0.1080062271740522</v>
      </c>
      <c r="X48" s="170">
        <f t="shared" si="24"/>
        <v>0.10755134747273949</v>
      </c>
      <c r="Y48" s="415">
        <f t="shared" si="22"/>
        <v>2.2556873229633227</v>
      </c>
      <c r="AA48" s="266"/>
    </row>
    <row r="49" spans="1:27">
      <c r="A49" s="431">
        <f>VLOOKUP(C49,M_Input_Out!$A$1:$AM$3999,3,FALSE)</f>
        <v>3303.4620964582305</v>
      </c>
      <c r="B49" s="432">
        <f>VLOOKUP(C49,M_Input_Out!$A$1:$AM$3999,11,FALSE)</f>
        <v>-11.108790871834286</v>
      </c>
      <c r="C49" s="11" t="str">
        <f>C38</f>
        <v>Streetlight - MH 1000W - New</v>
      </c>
      <c r="E49" s="170">
        <f t="shared" ref="E49:X49" si="25">E38*$D$43*$A49/8760/1000</f>
        <v>1.562327411146308E-2</v>
      </c>
      <c r="F49" s="170">
        <f t="shared" si="25"/>
        <v>1.9554012383321346E-2</v>
      </c>
      <c r="G49" s="170">
        <f t="shared" si="25"/>
        <v>2.2342559177445806E-2</v>
      </c>
      <c r="H49" s="170">
        <f t="shared" si="25"/>
        <v>2.3811050856896249E-2</v>
      </c>
      <c r="I49" s="170">
        <f t="shared" si="25"/>
        <v>2.4375158624478001E-2</v>
      </c>
      <c r="J49" s="170">
        <f t="shared" si="25"/>
        <v>2.4363704082874815E-2</v>
      </c>
      <c r="K49" s="170">
        <f t="shared" si="25"/>
        <v>2.4077291204775232E-2</v>
      </c>
      <c r="L49" s="170">
        <f t="shared" si="25"/>
        <v>2.3673471661969581E-2</v>
      </c>
      <c r="M49" s="170">
        <f t="shared" si="25"/>
        <v>2.3244390019910556E-2</v>
      </c>
      <c r="N49" s="170">
        <f t="shared" si="25"/>
        <v>2.2863178057444221E-2</v>
      </c>
      <c r="O49" s="170">
        <f t="shared" si="25"/>
        <v>2.2548622422416752E-2</v>
      </c>
      <c r="P49" s="170">
        <f t="shared" si="25"/>
        <v>2.231044901621046E-2</v>
      </c>
      <c r="Q49" s="170">
        <f t="shared" si="25"/>
        <v>2.2104386167111231E-2</v>
      </c>
      <c r="R49" s="170">
        <f t="shared" si="25"/>
        <v>2.1899468235990427E-2</v>
      </c>
      <c r="S49" s="170">
        <f t="shared" si="25"/>
        <v>2.1705881832387891E-2</v>
      </c>
      <c r="T49" s="170">
        <f t="shared" si="25"/>
        <v>2.1530501742506515E-2</v>
      </c>
      <c r="U49" s="170">
        <f t="shared" si="25"/>
        <v>2.1373341032077275E-2</v>
      </c>
      <c r="V49" s="170">
        <f t="shared" si="25"/>
        <v>2.1231805876310468E-2</v>
      </c>
      <c r="W49" s="170">
        <f t="shared" si="25"/>
        <v>2.1103950575879552E-2</v>
      </c>
      <c r="X49" s="170">
        <f t="shared" si="25"/>
        <v>2.1015069045752555E-2</v>
      </c>
      <c r="Y49" s="415">
        <f t="shared" si="22"/>
        <v>0.44075156612722211</v>
      </c>
      <c r="AA49" s="266"/>
    </row>
    <row r="50" spans="1:27">
      <c r="E50" s="170"/>
      <c r="F50" s="170"/>
      <c r="G50" s="170"/>
      <c r="H50" s="170"/>
      <c r="I50" s="170"/>
      <c r="J50" s="170"/>
      <c r="K50" s="170"/>
      <c r="L50" s="170"/>
      <c r="M50" s="170"/>
      <c r="N50" s="170"/>
      <c r="O50" s="170"/>
      <c r="P50" s="170"/>
      <c r="Q50" s="170"/>
      <c r="R50" s="170"/>
      <c r="S50" s="170"/>
      <c r="T50" s="170"/>
      <c r="U50" s="170"/>
      <c r="V50" s="170"/>
      <c r="W50" s="170"/>
      <c r="X50" s="170"/>
      <c r="Y50" s="410"/>
      <c r="AA50" s="266"/>
    </row>
    <row r="51" spans="1:27">
      <c r="B51" s="432">
        <f>SUMPRODUCT(A45:A49,B45:B49)/SUM(A45:A49)</f>
        <v>-33.841030594351167</v>
      </c>
      <c r="C51" s="11" t="s">
        <v>898</v>
      </c>
      <c r="E51" s="170">
        <f>SUM(E45:E49)</f>
        <v>0.21471072514155776</v>
      </c>
      <c r="F51" s="170">
        <f t="shared" ref="F51:Y51" si="26">SUM(F45:F49)</f>
        <v>0.26873087857873806</v>
      </c>
      <c r="G51" s="170">
        <f t="shared" si="26"/>
        <v>0.30705388949092127</v>
      </c>
      <c r="H51" s="170">
        <f t="shared" si="26"/>
        <v>0.3272353771297899</v>
      </c>
      <c r="I51" s="170">
        <f t="shared" si="26"/>
        <v>0.33498791267204181</v>
      </c>
      <c r="J51" s="170">
        <f t="shared" si="26"/>
        <v>0.33483049285618016</v>
      </c>
      <c r="K51" s="170">
        <f t="shared" si="26"/>
        <v>0.33089431940701053</v>
      </c>
      <c r="L51" s="170">
        <f t="shared" si="26"/>
        <v>0.32534462564605182</v>
      </c>
      <c r="M51" s="170">
        <f t="shared" si="26"/>
        <v>0.31944775474343939</v>
      </c>
      <c r="N51" s="170">
        <f t="shared" si="26"/>
        <v>0.31420875705897011</v>
      </c>
      <c r="O51" s="170">
        <f t="shared" si="26"/>
        <v>0.30988581757699835</v>
      </c>
      <c r="P51" s="170">
        <f t="shared" si="26"/>
        <v>0.30661259940319274</v>
      </c>
      <c r="Q51" s="170">
        <f t="shared" si="26"/>
        <v>0.30378067675758241</v>
      </c>
      <c r="R51" s="170">
        <f t="shared" si="26"/>
        <v>0.30096448872480808</v>
      </c>
      <c r="S51" s="170">
        <f t="shared" si="26"/>
        <v>0.29830402992478289</v>
      </c>
      <c r="T51" s="170">
        <f t="shared" si="26"/>
        <v>0.29589378057466803</v>
      </c>
      <c r="U51" s="170">
        <f t="shared" si="26"/>
        <v>0.29373392023686173</v>
      </c>
      <c r="V51" s="170">
        <f t="shared" si="26"/>
        <v>0.29178880196581902</v>
      </c>
      <c r="W51" s="170">
        <f t="shared" si="26"/>
        <v>0.29003168600709872</v>
      </c>
      <c r="X51" s="170">
        <f t="shared" si="26"/>
        <v>0.28881018674586145</v>
      </c>
      <c r="Y51" s="415">
        <f t="shared" si="26"/>
        <v>6.057250720642374</v>
      </c>
      <c r="AA51" s="266"/>
    </row>
    <row r="54" spans="1:27" ht="15">
      <c r="A54" s="334" t="s">
        <v>684</v>
      </c>
      <c r="B54" s="335"/>
    </row>
    <row r="55" spans="1:27" ht="15">
      <c r="E55" s="407">
        <f>E11</f>
        <v>2016</v>
      </c>
      <c r="F55" s="407">
        <f t="shared" ref="F55:X55" si="27">F11</f>
        <v>2017</v>
      </c>
      <c r="G55" s="407">
        <f t="shared" si="27"/>
        <v>2018</v>
      </c>
      <c r="H55" s="407">
        <f t="shared" si="27"/>
        <v>2019</v>
      </c>
      <c r="I55" s="407">
        <f t="shared" si="27"/>
        <v>2020</v>
      </c>
      <c r="J55" s="407">
        <f t="shared" si="27"/>
        <v>2021</v>
      </c>
      <c r="K55" s="407">
        <f t="shared" si="27"/>
        <v>2022</v>
      </c>
      <c r="L55" s="407">
        <f t="shared" si="27"/>
        <v>2023</v>
      </c>
      <c r="M55" s="407">
        <f t="shared" si="27"/>
        <v>2024</v>
      </c>
      <c r="N55" s="407">
        <f t="shared" si="27"/>
        <v>2025</v>
      </c>
      <c r="O55" s="407">
        <f t="shared" si="27"/>
        <v>2026</v>
      </c>
      <c r="P55" s="407">
        <f t="shared" si="27"/>
        <v>2027</v>
      </c>
      <c r="Q55" s="407">
        <f t="shared" si="27"/>
        <v>2028</v>
      </c>
      <c r="R55" s="407">
        <f t="shared" si="27"/>
        <v>2029</v>
      </c>
      <c r="S55" s="407">
        <f t="shared" si="27"/>
        <v>2030</v>
      </c>
      <c r="T55" s="407">
        <f t="shared" si="27"/>
        <v>2031</v>
      </c>
      <c r="U55" s="407">
        <f t="shared" si="27"/>
        <v>2032</v>
      </c>
      <c r="V55" s="407">
        <f t="shared" si="27"/>
        <v>2033</v>
      </c>
      <c r="W55" s="407">
        <f t="shared" si="27"/>
        <v>2034</v>
      </c>
      <c r="X55" s="407">
        <f t="shared" si="27"/>
        <v>2035</v>
      </c>
      <c r="Y55" s="413" t="s">
        <v>973</v>
      </c>
    </row>
    <row r="56" spans="1:27" ht="15">
      <c r="B56" s="248" t="s">
        <v>683</v>
      </c>
      <c r="C56" s="248" t="s">
        <v>683</v>
      </c>
      <c r="D56" s="248"/>
      <c r="E56" s="408" t="str">
        <f>TEXT(E44,"0000")</f>
        <v>aMW_2016</v>
      </c>
      <c r="F56" s="408" t="str">
        <f t="shared" ref="F56:X56" si="28">TEXT(F44,"0000")</f>
        <v>aMW_2017</v>
      </c>
      <c r="G56" s="408" t="str">
        <f t="shared" si="28"/>
        <v>aMW_2018</v>
      </c>
      <c r="H56" s="408" t="str">
        <f t="shared" si="28"/>
        <v>aMW_2019</v>
      </c>
      <c r="I56" s="408" t="str">
        <f t="shared" si="28"/>
        <v>aMW_2020</v>
      </c>
      <c r="J56" s="408" t="str">
        <f t="shared" si="28"/>
        <v>aMW_2021</v>
      </c>
      <c r="K56" s="408" t="str">
        <f t="shared" si="28"/>
        <v>aMW_2022</v>
      </c>
      <c r="L56" s="408" t="str">
        <f t="shared" si="28"/>
        <v>aMW_2023</v>
      </c>
      <c r="M56" s="408" t="str">
        <f t="shared" si="28"/>
        <v>aMW_2024</v>
      </c>
      <c r="N56" s="408" t="str">
        <f t="shared" si="28"/>
        <v>aMW_2025</v>
      </c>
      <c r="O56" s="408" t="str">
        <f t="shared" si="28"/>
        <v>aMW_2026</v>
      </c>
      <c r="P56" s="408" t="str">
        <f t="shared" si="28"/>
        <v>aMW_2027</v>
      </c>
      <c r="Q56" s="408" t="str">
        <f t="shared" si="28"/>
        <v>aMW_2028</v>
      </c>
      <c r="R56" s="408" t="str">
        <f t="shared" si="28"/>
        <v>aMW_2029</v>
      </c>
      <c r="S56" s="408" t="str">
        <f t="shared" si="28"/>
        <v>aMW_2030</v>
      </c>
      <c r="T56" s="408" t="str">
        <f t="shared" si="28"/>
        <v>aMW_2031</v>
      </c>
      <c r="U56" s="408" t="str">
        <f t="shared" si="28"/>
        <v>aMW_2032</v>
      </c>
      <c r="V56" s="408" t="str">
        <f t="shared" si="28"/>
        <v>aMW_2033</v>
      </c>
      <c r="W56" s="408" t="str">
        <f t="shared" si="28"/>
        <v>aMW_2034</v>
      </c>
      <c r="X56" s="408" t="str">
        <f t="shared" si="28"/>
        <v>aMW_2035</v>
      </c>
      <c r="Y56" s="414" t="s">
        <v>973</v>
      </c>
    </row>
    <row r="57" spans="1:27">
      <c r="A57" s="11" t="s">
        <v>640</v>
      </c>
      <c r="B57" s="272" t="s">
        <v>685</v>
      </c>
      <c r="C57" s="272" t="s">
        <v>686</v>
      </c>
      <c r="D57" s="272"/>
      <c r="E57" s="247">
        <f>DSUM($B$44:$Y$49,E$44,$B$56:$C57)</f>
        <v>0.21471072514155776</v>
      </c>
      <c r="F57" s="247">
        <f>DSUM($B$44:$Y$49,F$44,$B$56:$C57)</f>
        <v>0.26873087857873806</v>
      </c>
      <c r="G57" s="247">
        <f>DSUM($B$44:$Y$49,G$44,$B$56:$C57)</f>
        <v>0.30705388949092127</v>
      </c>
      <c r="H57" s="247">
        <f>DSUM($B$44:$Y$49,H$44,$B$56:$C57)</f>
        <v>0.3272353771297899</v>
      </c>
      <c r="I57" s="247">
        <f>DSUM($B$44:$Y$49,I$44,$B$56:$C57)</f>
        <v>0.33498791267204181</v>
      </c>
      <c r="J57" s="247">
        <f>DSUM($B$44:$Y$49,J$44,$B$56:$C57)</f>
        <v>0.33483049285618016</v>
      </c>
      <c r="K57" s="247">
        <f>DSUM($B$44:$Y$49,K$44,$B$56:$C57)</f>
        <v>0.33089431940701053</v>
      </c>
      <c r="L57" s="247">
        <f>DSUM($B$44:$Y$49,L$44,$B$56:$C57)</f>
        <v>0.32534462564605182</v>
      </c>
      <c r="M57" s="247">
        <f>DSUM($B$44:$Y$49,M$44,$B$56:$C57)</f>
        <v>0.31944775474343939</v>
      </c>
      <c r="N57" s="247">
        <f>DSUM($B$44:$Y$49,N$44,$B$56:$C57)</f>
        <v>0.31420875705897011</v>
      </c>
      <c r="O57" s="247">
        <f>DSUM($B$44:$Y$49,O$44,$B$56:$C57)</f>
        <v>0.30988581757699835</v>
      </c>
      <c r="P57" s="247">
        <f>DSUM($B$44:$Y$49,P$44,$B$56:$C57)</f>
        <v>0.30661259940319274</v>
      </c>
      <c r="Q57" s="247">
        <f>DSUM($B$44:$Y$49,Q$44,$B$56:$C57)</f>
        <v>0.30378067675758241</v>
      </c>
      <c r="R57" s="247">
        <f>DSUM($B$44:$Y$49,R$44,$B$56:$C57)</f>
        <v>0.30096448872480808</v>
      </c>
      <c r="S57" s="247">
        <f>DSUM($B$44:$Y$49,S$44,$B$56:$C57)</f>
        <v>0.29830402992478289</v>
      </c>
      <c r="T57" s="247">
        <f>DSUM($B$44:$Y$49,T$44,$B$56:$C57)</f>
        <v>0.29589378057466803</v>
      </c>
      <c r="U57" s="247">
        <f>DSUM($B$44:$Y$49,U$44,$B$56:$C57)</f>
        <v>0.29373392023686173</v>
      </c>
      <c r="V57" s="247">
        <f>DSUM($B$44:$Y$49,V$44,$B$56:$C57)</f>
        <v>0.29178880196581902</v>
      </c>
      <c r="W57" s="247">
        <f>DSUM($B$44:$Y$49,W$44,$B$56:$C57)</f>
        <v>0.29003168600709872</v>
      </c>
      <c r="X57" s="247">
        <f>DSUM($B$44:$Y$49,X$44,$B$56:$C57)</f>
        <v>0.28881018674586145</v>
      </c>
      <c r="Y57" s="32">
        <f>DSUM($B$44:$Y$49,Y$44,$B$56:$C57)</f>
        <v>6.057250720642374</v>
      </c>
    </row>
    <row r="58" spans="1:27">
      <c r="A58" s="11" t="s">
        <v>641</v>
      </c>
      <c r="B58" s="272" t="s">
        <v>687</v>
      </c>
      <c r="C58" s="272" t="s">
        <v>688</v>
      </c>
      <c r="D58" s="272"/>
      <c r="E58" s="247">
        <f>DSUM($B$44:$Y$49,E$44,$B$56:$C58)</f>
        <v>0.21471072514155776</v>
      </c>
      <c r="F58" s="247">
        <f>DSUM($B$44:$Y$49,F$44,$B$56:$C58)</f>
        <v>0.26873087857873806</v>
      </c>
      <c r="G58" s="247">
        <f>DSUM($B$44:$Y$49,G$44,$B$56:$C58)</f>
        <v>0.30705388949092127</v>
      </c>
      <c r="H58" s="247">
        <f>DSUM($B$44:$Y$49,H$44,$B$56:$C58)</f>
        <v>0.3272353771297899</v>
      </c>
      <c r="I58" s="247">
        <f>DSUM($B$44:$Y$49,I$44,$B$56:$C58)</f>
        <v>0.33498791267204181</v>
      </c>
      <c r="J58" s="247">
        <f>DSUM($B$44:$Y$49,J$44,$B$56:$C58)</f>
        <v>0.33483049285618016</v>
      </c>
      <c r="K58" s="247">
        <f>DSUM($B$44:$Y$49,K$44,$B$56:$C58)</f>
        <v>0.33089431940701053</v>
      </c>
      <c r="L58" s="247">
        <f>DSUM($B$44:$Y$49,L$44,$B$56:$C58)</f>
        <v>0.32534462564605182</v>
      </c>
      <c r="M58" s="247">
        <f>DSUM($B$44:$Y$49,M$44,$B$56:$C58)</f>
        <v>0.31944775474343939</v>
      </c>
      <c r="N58" s="247">
        <f>DSUM($B$44:$Y$49,N$44,$B$56:$C58)</f>
        <v>0.31420875705897011</v>
      </c>
      <c r="O58" s="247">
        <f>DSUM($B$44:$Y$49,O$44,$B$56:$C58)</f>
        <v>0.30988581757699835</v>
      </c>
      <c r="P58" s="247">
        <f>DSUM($B$44:$Y$49,P$44,$B$56:$C58)</f>
        <v>0.30661259940319274</v>
      </c>
      <c r="Q58" s="247">
        <f>DSUM($B$44:$Y$49,Q$44,$B$56:$C58)</f>
        <v>0.30378067675758241</v>
      </c>
      <c r="R58" s="247">
        <f>DSUM($B$44:$Y$49,R$44,$B$56:$C58)</f>
        <v>0.30096448872480808</v>
      </c>
      <c r="S58" s="247">
        <f>DSUM($B$44:$Y$49,S$44,$B$56:$C58)</f>
        <v>0.29830402992478289</v>
      </c>
      <c r="T58" s="247">
        <f>DSUM($B$44:$Y$49,T$44,$B$56:$C58)</f>
        <v>0.29589378057466803</v>
      </c>
      <c r="U58" s="247">
        <f>DSUM($B$44:$Y$49,U$44,$B$56:$C58)</f>
        <v>0.29373392023686173</v>
      </c>
      <c r="V58" s="247">
        <f>DSUM($B$44:$Y$49,V$44,$B$56:$C58)</f>
        <v>0.29178880196581902</v>
      </c>
      <c r="W58" s="247">
        <f>DSUM($B$44:$Y$49,W$44,$B$56:$C58)</f>
        <v>0.29003168600709872</v>
      </c>
      <c r="X58" s="247">
        <f>DSUM($B$44:$Y$49,X$44,$B$56:$C58)</f>
        <v>0.28881018674586145</v>
      </c>
      <c r="Y58" s="32">
        <f>DSUM($B$44:$Y$49,Y$44,$B$56:$C58)</f>
        <v>6.057250720642374</v>
      </c>
    </row>
    <row r="59" spans="1:27">
      <c r="A59" s="11" t="s">
        <v>642</v>
      </c>
      <c r="B59" s="272" t="s">
        <v>689</v>
      </c>
      <c r="C59" s="272" t="s">
        <v>690</v>
      </c>
      <c r="D59" s="272"/>
      <c r="E59" s="247">
        <f>DSUM($B$44:$Y$49,E$44,$B$56:$C59)</f>
        <v>0.21471072514155776</v>
      </c>
      <c r="F59" s="247">
        <f>DSUM($B$44:$Y$49,F$44,$B$56:$C59)</f>
        <v>0.26873087857873806</v>
      </c>
      <c r="G59" s="247">
        <f>DSUM($B$44:$Y$49,G$44,$B$56:$C59)</f>
        <v>0.30705388949092127</v>
      </c>
      <c r="H59" s="247">
        <f>DSUM($B$44:$Y$49,H$44,$B$56:$C59)</f>
        <v>0.3272353771297899</v>
      </c>
      <c r="I59" s="247">
        <f>DSUM($B$44:$Y$49,I$44,$B$56:$C59)</f>
        <v>0.33498791267204181</v>
      </c>
      <c r="J59" s="247">
        <f>DSUM($B$44:$Y$49,J$44,$B$56:$C59)</f>
        <v>0.33483049285618016</v>
      </c>
      <c r="K59" s="247">
        <f>DSUM($B$44:$Y$49,K$44,$B$56:$C59)</f>
        <v>0.33089431940701053</v>
      </c>
      <c r="L59" s="247">
        <f>DSUM($B$44:$Y$49,L$44,$B$56:$C59)</f>
        <v>0.32534462564605182</v>
      </c>
      <c r="M59" s="247">
        <f>DSUM($B$44:$Y$49,M$44,$B$56:$C59)</f>
        <v>0.31944775474343939</v>
      </c>
      <c r="N59" s="247">
        <f>DSUM($B$44:$Y$49,N$44,$B$56:$C59)</f>
        <v>0.31420875705897011</v>
      </c>
      <c r="O59" s="247">
        <f>DSUM($B$44:$Y$49,O$44,$B$56:$C59)</f>
        <v>0.30988581757699835</v>
      </c>
      <c r="P59" s="247">
        <f>DSUM($B$44:$Y$49,P$44,$B$56:$C59)</f>
        <v>0.30661259940319274</v>
      </c>
      <c r="Q59" s="247">
        <f>DSUM($B$44:$Y$49,Q$44,$B$56:$C59)</f>
        <v>0.30378067675758241</v>
      </c>
      <c r="R59" s="247">
        <f>DSUM($B$44:$Y$49,R$44,$B$56:$C59)</f>
        <v>0.30096448872480808</v>
      </c>
      <c r="S59" s="247">
        <f>DSUM($B$44:$Y$49,S$44,$B$56:$C59)</f>
        <v>0.29830402992478289</v>
      </c>
      <c r="T59" s="247">
        <f>DSUM($B$44:$Y$49,T$44,$B$56:$C59)</f>
        <v>0.29589378057466803</v>
      </c>
      <c r="U59" s="247">
        <f>DSUM($B$44:$Y$49,U$44,$B$56:$C59)</f>
        <v>0.29373392023686173</v>
      </c>
      <c r="V59" s="247">
        <f>DSUM($B$44:$Y$49,V$44,$B$56:$C59)</f>
        <v>0.29178880196581902</v>
      </c>
      <c r="W59" s="247">
        <f>DSUM($B$44:$Y$49,W$44,$B$56:$C59)</f>
        <v>0.29003168600709872</v>
      </c>
      <c r="X59" s="247">
        <f>DSUM($B$44:$Y$49,X$44,$B$56:$C59)</f>
        <v>0.28881018674586145</v>
      </c>
      <c r="Y59" s="32">
        <f>DSUM($B$44:$Y$49,Y$44,$B$56:$C59)</f>
        <v>6.057250720642374</v>
      </c>
    </row>
    <row r="60" spans="1:27">
      <c r="A60" s="11" t="s">
        <v>643</v>
      </c>
      <c r="B60" s="272" t="s">
        <v>691</v>
      </c>
      <c r="C60" s="272" t="s">
        <v>692</v>
      </c>
      <c r="D60" s="272"/>
      <c r="E60" s="247">
        <f>DSUM($B$44:$Y$49,E$44,$B$56:$C60)</f>
        <v>0.21471072514155776</v>
      </c>
      <c r="F60" s="247">
        <f>DSUM($B$44:$Y$49,F$44,$B$56:$C60)</f>
        <v>0.26873087857873806</v>
      </c>
      <c r="G60" s="247">
        <f>DSUM($B$44:$Y$49,G$44,$B$56:$C60)</f>
        <v>0.30705388949092127</v>
      </c>
      <c r="H60" s="247">
        <f>DSUM($B$44:$Y$49,H$44,$B$56:$C60)</f>
        <v>0.3272353771297899</v>
      </c>
      <c r="I60" s="247">
        <f>DSUM($B$44:$Y$49,I$44,$B$56:$C60)</f>
        <v>0.33498791267204181</v>
      </c>
      <c r="J60" s="247">
        <f>DSUM($B$44:$Y$49,J$44,$B$56:$C60)</f>
        <v>0.33483049285618016</v>
      </c>
      <c r="K60" s="247">
        <f>DSUM($B$44:$Y$49,K$44,$B$56:$C60)</f>
        <v>0.33089431940701053</v>
      </c>
      <c r="L60" s="247">
        <f>DSUM($B$44:$Y$49,L$44,$B$56:$C60)</f>
        <v>0.32534462564605182</v>
      </c>
      <c r="M60" s="247">
        <f>DSUM($B$44:$Y$49,M$44,$B$56:$C60)</f>
        <v>0.31944775474343939</v>
      </c>
      <c r="N60" s="247">
        <f>DSUM($B$44:$Y$49,N$44,$B$56:$C60)</f>
        <v>0.31420875705897011</v>
      </c>
      <c r="O60" s="247">
        <f>DSUM($B$44:$Y$49,O$44,$B$56:$C60)</f>
        <v>0.30988581757699835</v>
      </c>
      <c r="P60" s="247">
        <f>DSUM($B$44:$Y$49,P$44,$B$56:$C60)</f>
        <v>0.30661259940319274</v>
      </c>
      <c r="Q60" s="247">
        <f>DSUM($B$44:$Y$49,Q$44,$B$56:$C60)</f>
        <v>0.30378067675758241</v>
      </c>
      <c r="R60" s="247">
        <f>DSUM($B$44:$Y$49,R$44,$B$56:$C60)</f>
        <v>0.30096448872480808</v>
      </c>
      <c r="S60" s="247">
        <f>DSUM($B$44:$Y$49,S$44,$B$56:$C60)</f>
        <v>0.29830402992478289</v>
      </c>
      <c r="T60" s="247">
        <f>DSUM($B$44:$Y$49,T$44,$B$56:$C60)</f>
        <v>0.29589378057466803</v>
      </c>
      <c r="U60" s="247">
        <f>DSUM($B$44:$Y$49,U$44,$B$56:$C60)</f>
        <v>0.29373392023686173</v>
      </c>
      <c r="V60" s="247">
        <f>DSUM($B$44:$Y$49,V$44,$B$56:$C60)</f>
        <v>0.29178880196581902</v>
      </c>
      <c r="W60" s="247">
        <f>DSUM($B$44:$Y$49,W$44,$B$56:$C60)</f>
        <v>0.29003168600709872</v>
      </c>
      <c r="X60" s="247">
        <f>DSUM($B$44:$Y$49,X$44,$B$56:$C60)</f>
        <v>0.28881018674586145</v>
      </c>
      <c r="Y60" s="32">
        <f>DSUM($B$44:$Y$49,Y$44,$B$56:$C60)</f>
        <v>6.057250720642374</v>
      </c>
    </row>
    <row r="61" spans="1:27">
      <c r="A61" s="11" t="s">
        <v>644</v>
      </c>
      <c r="B61" s="272" t="s">
        <v>693</v>
      </c>
      <c r="C61" s="272" t="s">
        <v>694</v>
      </c>
      <c r="D61" s="272"/>
      <c r="E61" s="247">
        <f>DSUM($B$44:$Y$49,E$44,$B$56:$C61)</f>
        <v>0.21471072514155776</v>
      </c>
      <c r="F61" s="247">
        <f>DSUM($B$44:$Y$49,F$44,$B$56:$C61)</f>
        <v>0.26873087857873806</v>
      </c>
      <c r="G61" s="247">
        <f>DSUM($B$44:$Y$49,G$44,$B$56:$C61)</f>
        <v>0.30705388949092127</v>
      </c>
      <c r="H61" s="247">
        <f>DSUM($B$44:$Y$49,H$44,$B$56:$C61)</f>
        <v>0.3272353771297899</v>
      </c>
      <c r="I61" s="247">
        <f>DSUM($B$44:$Y$49,I$44,$B$56:$C61)</f>
        <v>0.33498791267204181</v>
      </c>
      <c r="J61" s="247">
        <f>DSUM($B$44:$Y$49,J$44,$B$56:$C61)</f>
        <v>0.33483049285618016</v>
      </c>
      <c r="K61" s="247">
        <f>DSUM($B$44:$Y$49,K$44,$B$56:$C61)</f>
        <v>0.33089431940701053</v>
      </c>
      <c r="L61" s="247">
        <f>DSUM($B$44:$Y$49,L$44,$B$56:$C61)</f>
        <v>0.32534462564605182</v>
      </c>
      <c r="M61" s="247">
        <f>DSUM($B$44:$Y$49,M$44,$B$56:$C61)</f>
        <v>0.31944775474343939</v>
      </c>
      <c r="N61" s="247">
        <f>DSUM($B$44:$Y$49,N$44,$B$56:$C61)</f>
        <v>0.31420875705897011</v>
      </c>
      <c r="O61" s="247">
        <f>DSUM($B$44:$Y$49,O$44,$B$56:$C61)</f>
        <v>0.30988581757699835</v>
      </c>
      <c r="P61" s="247">
        <f>DSUM($B$44:$Y$49,P$44,$B$56:$C61)</f>
        <v>0.30661259940319274</v>
      </c>
      <c r="Q61" s="247">
        <f>DSUM($B$44:$Y$49,Q$44,$B$56:$C61)</f>
        <v>0.30378067675758241</v>
      </c>
      <c r="R61" s="247">
        <f>DSUM($B$44:$Y$49,R$44,$B$56:$C61)</f>
        <v>0.30096448872480808</v>
      </c>
      <c r="S61" s="247">
        <f>DSUM($B$44:$Y$49,S$44,$B$56:$C61)</f>
        <v>0.29830402992478289</v>
      </c>
      <c r="T61" s="247">
        <f>DSUM($B$44:$Y$49,T$44,$B$56:$C61)</f>
        <v>0.29589378057466803</v>
      </c>
      <c r="U61" s="247">
        <f>DSUM($B$44:$Y$49,U$44,$B$56:$C61)</f>
        <v>0.29373392023686173</v>
      </c>
      <c r="V61" s="247">
        <f>DSUM($B$44:$Y$49,V$44,$B$56:$C61)</f>
        <v>0.29178880196581902</v>
      </c>
      <c r="W61" s="247">
        <f>DSUM($B$44:$Y$49,W$44,$B$56:$C61)</f>
        <v>0.29003168600709872</v>
      </c>
      <c r="X61" s="247">
        <f>DSUM($B$44:$Y$49,X$44,$B$56:$C61)</f>
        <v>0.28881018674586145</v>
      </c>
      <c r="Y61" s="32">
        <f>DSUM($B$44:$Y$49,Y$44,$B$56:$C61)</f>
        <v>6.057250720642374</v>
      </c>
    </row>
    <row r="62" spans="1:27">
      <c r="A62" s="11" t="s">
        <v>645</v>
      </c>
      <c r="B62" s="272" t="s">
        <v>695</v>
      </c>
      <c r="C62" s="272" t="s">
        <v>696</v>
      </c>
      <c r="D62" s="272"/>
      <c r="E62" s="247">
        <f>DSUM($B$44:$Y$49,E$44,$B$56:$C62)</f>
        <v>0.21471072514155776</v>
      </c>
      <c r="F62" s="247">
        <f>DSUM($B$44:$Y$49,F$44,$B$56:$C62)</f>
        <v>0.26873087857873806</v>
      </c>
      <c r="G62" s="247">
        <f>DSUM($B$44:$Y$49,G$44,$B$56:$C62)</f>
        <v>0.30705388949092127</v>
      </c>
      <c r="H62" s="247">
        <f>DSUM($B$44:$Y$49,H$44,$B$56:$C62)</f>
        <v>0.3272353771297899</v>
      </c>
      <c r="I62" s="247">
        <f>DSUM($B$44:$Y$49,I$44,$B$56:$C62)</f>
        <v>0.33498791267204181</v>
      </c>
      <c r="J62" s="247">
        <f>DSUM($B$44:$Y$49,J$44,$B$56:$C62)</f>
        <v>0.33483049285618016</v>
      </c>
      <c r="K62" s="247">
        <f>DSUM($B$44:$Y$49,K$44,$B$56:$C62)</f>
        <v>0.33089431940701053</v>
      </c>
      <c r="L62" s="247">
        <f>DSUM($B$44:$Y$49,L$44,$B$56:$C62)</f>
        <v>0.32534462564605182</v>
      </c>
      <c r="M62" s="247">
        <f>DSUM($B$44:$Y$49,M$44,$B$56:$C62)</f>
        <v>0.31944775474343939</v>
      </c>
      <c r="N62" s="247">
        <f>DSUM($B$44:$Y$49,N$44,$B$56:$C62)</f>
        <v>0.31420875705897011</v>
      </c>
      <c r="O62" s="247">
        <f>DSUM($B$44:$Y$49,O$44,$B$56:$C62)</f>
        <v>0.30988581757699835</v>
      </c>
      <c r="P62" s="247">
        <f>DSUM($B$44:$Y$49,P$44,$B$56:$C62)</f>
        <v>0.30661259940319274</v>
      </c>
      <c r="Q62" s="247">
        <f>DSUM($B$44:$Y$49,Q$44,$B$56:$C62)</f>
        <v>0.30378067675758241</v>
      </c>
      <c r="R62" s="247">
        <f>DSUM($B$44:$Y$49,R$44,$B$56:$C62)</f>
        <v>0.30096448872480808</v>
      </c>
      <c r="S62" s="247">
        <f>DSUM($B$44:$Y$49,S$44,$B$56:$C62)</f>
        <v>0.29830402992478289</v>
      </c>
      <c r="T62" s="247">
        <f>DSUM($B$44:$Y$49,T$44,$B$56:$C62)</f>
        <v>0.29589378057466803</v>
      </c>
      <c r="U62" s="247">
        <f>DSUM($B$44:$Y$49,U$44,$B$56:$C62)</f>
        <v>0.29373392023686173</v>
      </c>
      <c r="V62" s="247">
        <f>DSUM($B$44:$Y$49,V$44,$B$56:$C62)</f>
        <v>0.29178880196581902</v>
      </c>
      <c r="W62" s="247">
        <f>DSUM($B$44:$Y$49,W$44,$B$56:$C62)</f>
        <v>0.29003168600709872</v>
      </c>
      <c r="X62" s="247">
        <f>DSUM($B$44:$Y$49,X$44,$B$56:$C62)</f>
        <v>0.28881018674586145</v>
      </c>
      <c r="Y62" s="32">
        <f>DSUM($B$44:$Y$49,Y$44,$B$56:$C62)</f>
        <v>6.057250720642374</v>
      </c>
    </row>
    <row r="63" spans="1:27">
      <c r="A63" s="11" t="s">
        <v>646</v>
      </c>
      <c r="B63" s="272" t="s">
        <v>697</v>
      </c>
      <c r="C63" s="272" t="s">
        <v>698</v>
      </c>
      <c r="D63" s="272"/>
      <c r="E63" s="247">
        <f>DSUM($B$44:$Y$49,E$44,$B$56:$C63)</f>
        <v>0.21471072514155776</v>
      </c>
      <c r="F63" s="247">
        <f>DSUM($B$44:$Y$49,F$44,$B$56:$C63)</f>
        <v>0.26873087857873806</v>
      </c>
      <c r="G63" s="247">
        <f>DSUM($B$44:$Y$49,G$44,$B$56:$C63)</f>
        <v>0.30705388949092127</v>
      </c>
      <c r="H63" s="247">
        <f>DSUM($B$44:$Y$49,H$44,$B$56:$C63)</f>
        <v>0.3272353771297899</v>
      </c>
      <c r="I63" s="247">
        <f>DSUM($B$44:$Y$49,I$44,$B$56:$C63)</f>
        <v>0.33498791267204181</v>
      </c>
      <c r="J63" s="247">
        <f>DSUM($B$44:$Y$49,J$44,$B$56:$C63)</f>
        <v>0.33483049285618016</v>
      </c>
      <c r="K63" s="247">
        <f>DSUM($B$44:$Y$49,K$44,$B$56:$C63)</f>
        <v>0.33089431940701053</v>
      </c>
      <c r="L63" s="247">
        <f>DSUM($B$44:$Y$49,L$44,$B$56:$C63)</f>
        <v>0.32534462564605182</v>
      </c>
      <c r="M63" s="247">
        <f>DSUM($B$44:$Y$49,M$44,$B$56:$C63)</f>
        <v>0.31944775474343939</v>
      </c>
      <c r="N63" s="247">
        <f>DSUM($B$44:$Y$49,N$44,$B$56:$C63)</f>
        <v>0.31420875705897011</v>
      </c>
      <c r="O63" s="247">
        <f>DSUM($B$44:$Y$49,O$44,$B$56:$C63)</f>
        <v>0.30988581757699835</v>
      </c>
      <c r="P63" s="247">
        <f>DSUM($B$44:$Y$49,P$44,$B$56:$C63)</f>
        <v>0.30661259940319274</v>
      </c>
      <c r="Q63" s="247">
        <f>DSUM($B$44:$Y$49,Q$44,$B$56:$C63)</f>
        <v>0.30378067675758241</v>
      </c>
      <c r="R63" s="247">
        <f>DSUM($B$44:$Y$49,R$44,$B$56:$C63)</f>
        <v>0.30096448872480808</v>
      </c>
      <c r="S63" s="247">
        <f>DSUM($B$44:$Y$49,S$44,$B$56:$C63)</f>
        <v>0.29830402992478289</v>
      </c>
      <c r="T63" s="247">
        <f>DSUM($B$44:$Y$49,T$44,$B$56:$C63)</f>
        <v>0.29589378057466803</v>
      </c>
      <c r="U63" s="247">
        <f>DSUM($B$44:$Y$49,U$44,$B$56:$C63)</f>
        <v>0.29373392023686173</v>
      </c>
      <c r="V63" s="247">
        <f>DSUM($B$44:$Y$49,V$44,$B$56:$C63)</f>
        <v>0.29178880196581902</v>
      </c>
      <c r="W63" s="247">
        <f>DSUM($B$44:$Y$49,W$44,$B$56:$C63)</f>
        <v>0.29003168600709872</v>
      </c>
      <c r="X63" s="247">
        <f>DSUM($B$44:$Y$49,X$44,$B$56:$C63)</f>
        <v>0.28881018674586145</v>
      </c>
      <c r="Y63" s="32">
        <f>DSUM($B$44:$Y$49,Y$44,$B$56:$C63)</f>
        <v>6.057250720642374</v>
      </c>
    </row>
    <row r="64" spans="1:27">
      <c r="A64" s="11" t="s">
        <v>647</v>
      </c>
      <c r="B64" s="272" t="s">
        <v>699</v>
      </c>
      <c r="C64" s="272" t="s">
        <v>700</v>
      </c>
      <c r="D64" s="272"/>
      <c r="E64" s="247">
        <f>DSUM($B$44:$Y$49,E$44,$B$56:$C64)</f>
        <v>0.21471072514155776</v>
      </c>
      <c r="F64" s="247">
        <f>DSUM($B$44:$Y$49,F$44,$B$56:$C64)</f>
        <v>0.26873087857873806</v>
      </c>
      <c r="G64" s="247">
        <f>DSUM($B$44:$Y$49,G$44,$B$56:$C64)</f>
        <v>0.30705388949092127</v>
      </c>
      <c r="H64" s="247">
        <f>DSUM($B$44:$Y$49,H$44,$B$56:$C64)</f>
        <v>0.3272353771297899</v>
      </c>
      <c r="I64" s="247">
        <f>DSUM($B$44:$Y$49,I$44,$B$56:$C64)</f>
        <v>0.33498791267204181</v>
      </c>
      <c r="J64" s="247">
        <f>DSUM($B$44:$Y$49,J$44,$B$56:$C64)</f>
        <v>0.33483049285618016</v>
      </c>
      <c r="K64" s="247">
        <f>DSUM($B$44:$Y$49,K$44,$B$56:$C64)</f>
        <v>0.33089431940701053</v>
      </c>
      <c r="L64" s="247">
        <f>DSUM($B$44:$Y$49,L$44,$B$56:$C64)</f>
        <v>0.32534462564605182</v>
      </c>
      <c r="M64" s="247">
        <f>DSUM($B$44:$Y$49,M$44,$B$56:$C64)</f>
        <v>0.31944775474343939</v>
      </c>
      <c r="N64" s="247">
        <f>DSUM($B$44:$Y$49,N$44,$B$56:$C64)</f>
        <v>0.31420875705897011</v>
      </c>
      <c r="O64" s="247">
        <f>DSUM($B$44:$Y$49,O$44,$B$56:$C64)</f>
        <v>0.30988581757699835</v>
      </c>
      <c r="P64" s="247">
        <f>DSUM($B$44:$Y$49,P$44,$B$56:$C64)</f>
        <v>0.30661259940319274</v>
      </c>
      <c r="Q64" s="247">
        <f>DSUM($B$44:$Y$49,Q$44,$B$56:$C64)</f>
        <v>0.30378067675758241</v>
      </c>
      <c r="R64" s="247">
        <f>DSUM($B$44:$Y$49,R$44,$B$56:$C64)</f>
        <v>0.30096448872480808</v>
      </c>
      <c r="S64" s="247">
        <f>DSUM($B$44:$Y$49,S$44,$B$56:$C64)</f>
        <v>0.29830402992478289</v>
      </c>
      <c r="T64" s="247">
        <f>DSUM($B$44:$Y$49,T$44,$B$56:$C64)</f>
        <v>0.29589378057466803</v>
      </c>
      <c r="U64" s="247">
        <f>DSUM($B$44:$Y$49,U$44,$B$56:$C64)</f>
        <v>0.29373392023686173</v>
      </c>
      <c r="V64" s="247">
        <f>DSUM($B$44:$Y$49,V$44,$B$56:$C64)</f>
        <v>0.29178880196581902</v>
      </c>
      <c r="W64" s="247">
        <f>DSUM($B$44:$Y$49,W$44,$B$56:$C64)</f>
        <v>0.29003168600709872</v>
      </c>
      <c r="X64" s="247">
        <f>DSUM($B$44:$Y$49,X$44,$B$56:$C64)</f>
        <v>0.28881018674586145</v>
      </c>
      <c r="Y64" s="32">
        <f>DSUM($B$44:$Y$49,Y$44,$B$56:$C64)</f>
        <v>6.057250720642374</v>
      </c>
    </row>
    <row r="65" spans="1:25">
      <c r="A65" s="11" t="s">
        <v>648</v>
      </c>
      <c r="B65" s="272" t="s">
        <v>701</v>
      </c>
      <c r="C65" s="272" t="s">
        <v>702</v>
      </c>
      <c r="D65" s="272"/>
      <c r="E65" s="247">
        <f>DSUM($B$44:$Y$49,E$44,$B$56:$C65)</f>
        <v>0.21471072514155776</v>
      </c>
      <c r="F65" s="247">
        <f>DSUM($B$44:$Y$49,F$44,$B$56:$C65)</f>
        <v>0.26873087857873806</v>
      </c>
      <c r="G65" s="247">
        <f>DSUM($B$44:$Y$49,G$44,$B$56:$C65)</f>
        <v>0.30705388949092127</v>
      </c>
      <c r="H65" s="247">
        <f>DSUM($B$44:$Y$49,H$44,$B$56:$C65)</f>
        <v>0.3272353771297899</v>
      </c>
      <c r="I65" s="247">
        <f>DSUM($B$44:$Y$49,I$44,$B$56:$C65)</f>
        <v>0.33498791267204181</v>
      </c>
      <c r="J65" s="247">
        <f>DSUM($B$44:$Y$49,J$44,$B$56:$C65)</f>
        <v>0.33483049285618016</v>
      </c>
      <c r="K65" s="247">
        <f>DSUM($B$44:$Y$49,K$44,$B$56:$C65)</f>
        <v>0.33089431940701053</v>
      </c>
      <c r="L65" s="247">
        <f>DSUM($B$44:$Y$49,L$44,$B$56:$C65)</f>
        <v>0.32534462564605182</v>
      </c>
      <c r="M65" s="247">
        <f>DSUM($B$44:$Y$49,M$44,$B$56:$C65)</f>
        <v>0.31944775474343939</v>
      </c>
      <c r="N65" s="247">
        <f>DSUM($B$44:$Y$49,N$44,$B$56:$C65)</f>
        <v>0.31420875705897011</v>
      </c>
      <c r="O65" s="247">
        <f>DSUM($B$44:$Y$49,O$44,$B$56:$C65)</f>
        <v>0.30988581757699835</v>
      </c>
      <c r="P65" s="247">
        <f>DSUM($B$44:$Y$49,P$44,$B$56:$C65)</f>
        <v>0.30661259940319274</v>
      </c>
      <c r="Q65" s="247">
        <f>DSUM($B$44:$Y$49,Q$44,$B$56:$C65)</f>
        <v>0.30378067675758241</v>
      </c>
      <c r="R65" s="247">
        <f>DSUM($B$44:$Y$49,R$44,$B$56:$C65)</f>
        <v>0.30096448872480808</v>
      </c>
      <c r="S65" s="247">
        <f>DSUM($B$44:$Y$49,S$44,$B$56:$C65)</f>
        <v>0.29830402992478289</v>
      </c>
      <c r="T65" s="247">
        <f>DSUM($B$44:$Y$49,T$44,$B$56:$C65)</f>
        <v>0.29589378057466803</v>
      </c>
      <c r="U65" s="247">
        <f>DSUM($B$44:$Y$49,U$44,$B$56:$C65)</f>
        <v>0.29373392023686173</v>
      </c>
      <c r="V65" s="247">
        <f>DSUM($B$44:$Y$49,V$44,$B$56:$C65)</f>
        <v>0.29178880196581902</v>
      </c>
      <c r="W65" s="247">
        <f>DSUM($B$44:$Y$49,W$44,$B$56:$C65)</f>
        <v>0.29003168600709872</v>
      </c>
      <c r="X65" s="247">
        <f>DSUM($B$44:$Y$49,X$44,$B$56:$C65)</f>
        <v>0.28881018674586145</v>
      </c>
      <c r="Y65" s="32">
        <f>DSUM($B$44:$Y$49,Y$44,$B$56:$C65)</f>
        <v>6.057250720642374</v>
      </c>
    </row>
    <row r="66" spans="1:25">
      <c r="A66" s="11" t="s">
        <v>649</v>
      </c>
      <c r="B66" s="272" t="s">
        <v>703</v>
      </c>
      <c r="C66" s="272" t="s">
        <v>704</v>
      </c>
      <c r="D66" s="272"/>
      <c r="E66" s="247">
        <f>DSUM($B$44:$Y$49,E$44,$B$56:$C66)</f>
        <v>0.21471072514155776</v>
      </c>
      <c r="F66" s="247">
        <f>DSUM($B$44:$Y$49,F$44,$B$56:$C66)</f>
        <v>0.26873087857873806</v>
      </c>
      <c r="G66" s="247">
        <f>DSUM($B$44:$Y$49,G$44,$B$56:$C66)</f>
        <v>0.30705388949092127</v>
      </c>
      <c r="H66" s="247">
        <f>DSUM($B$44:$Y$49,H$44,$B$56:$C66)</f>
        <v>0.3272353771297899</v>
      </c>
      <c r="I66" s="247">
        <f>DSUM($B$44:$Y$49,I$44,$B$56:$C66)</f>
        <v>0.33498791267204181</v>
      </c>
      <c r="J66" s="247">
        <f>DSUM($B$44:$Y$49,J$44,$B$56:$C66)</f>
        <v>0.33483049285618016</v>
      </c>
      <c r="K66" s="247">
        <f>DSUM($B$44:$Y$49,K$44,$B$56:$C66)</f>
        <v>0.33089431940701053</v>
      </c>
      <c r="L66" s="247">
        <f>DSUM($B$44:$Y$49,L$44,$B$56:$C66)</f>
        <v>0.32534462564605182</v>
      </c>
      <c r="M66" s="247">
        <f>DSUM($B$44:$Y$49,M$44,$B$56:$C66)</f>
        <v>0.31944775474343939</v>
      </c>
      <c r="N66" s="247">
        <f>DSUM($B$44:$Y$49,N$44,$B$56:$C66)</f>
        <v>0.31420875705897011</v>
      </c>
      <c r="O66" s="247">
        <f>DSUM($B$44:$Y$49,O$44,$B$56:$C66)</f>
        <v>0.30988581757699835</v>
      </c>
      <c r="P66" s="247">
        <f>DSUM($B$44:$Y$49,P$44,$B$56:$C66)</f>
        <v>0.30661259940319274</v>
      </c>
      <c r="Q66" s="247">
        <f>DSUM($B$44:$Y$49,Q$44,$B$56:$C66)</f>
        <v>0.30378067675758241</v>
      </c>
      <c r="R66" s="247">
        <f>DSUM($B$44:$Y$49,R$44,$B$56:$C66)</f>
        <v>0.30096448872480808</v>
      </c>
      <c r="S66" s="247">
        <f>DSUM($B$44:$Y$49,S$44,$B$56:$C66)</f>
        <v>0.29830402992478289</v>
      </c>
      <c r="T66" s="247">
        <f>DSUM($B$44:$Y$49,T$44,$B$56:$C66)</f>
        <v>0.29589378057466803</v>
      </c>
      <c r="U66" s="247">
        <f>DSUM($B$44:$Y$49,U$44,$B$56:$C66)</f>
        <v>0.29373392023686173</v>
      </c>
      <c r="V66" s="247">
        <f>DSUM($B$44:$Y$49,V$44,$B$56:$C66)</f>
        <v>0.29178880196581902</v>
      </c>
      <c r="W66" s="247">
        <f>DSUM($B$44:$Y$49,W$44,$B$56:$C66)</f>
        <v>0.29003168600709872</v>
      </c>
      <c r="X66" s="247">
        <f>DSUM($B$44:$Y$49,X$44,$B$56:$C66)</f>
        <v>0.28881018674586145</v>
      </c>
      <c r="Y66" s="32">
        <f>DSUM($B$44:$Y$49,Y$44,$B$56:$C66)</f>
        <v>6.057250720642374</v>
      </c>
    </row>
    <row r="67" spans="1:25">
      <c r="A67" s="11" t="s">
        <v>650</v>
      </c>
      <c r="B67" s="272" t="s">
        <v>705</v>
      </c>
      <c r="C67" s="272" t="s">
        <v>706</v>
      </c>
      <c r="D67" s="272"/>
      <c r="E67" s="247">
        <f>DSUM($B$44:$Y$49,E$44,$B$56:$C67)</f>
        <v>0.21471072514155776</v>
      </c>
      <c r="F67" s="247">
        <f>DSUM($B$44:$Y$49,F$44,$B$56:$C67)</f>
        <v>0.26873087857873806</v>
      </c>
      <c r="G67" s="247">
        <f>DSUM($B$44:$Y$49,G$44,$B$56:$C67)</f>
        <v>0.30705388949092127</v>
      </c>
      <c r="H67" s="247">
        <f>DSUM($B$44:$Y$49,H$44,$B$56:$C67)</f>
        <v>0.3272353771297899</v>
      </c>
      <c r="I67" s="247">
        <f>DSUM($B$44:$Y$49,I$44,$B$56:$C67)</f>
        <v>0.33498791267204181</v>
      </c>
      <c r="J67" s="247">
        <f>DSUM($B$44:$Y$49,J$44,$B$56:$C67)</f>
        <v>0.33483049285618016</v>
      </c>
      <c r="K67" s="247">
        <f>DSUM($B$44:$Y$49,K$44,$B$56:$C67)</f>
        <v>0.33089431940701053</v>
      </c>
      <c r="L67" s="247">
        <f>DSUM($B$44:$Y$49,L$44,$B$56:$C67)</f>
        <v>0.32534462564605182</v>
      </c>
      <c r="M67" s="247">
        <f>DSUM($B$44:$Y$49,M$44,$B$56:$C67)</f>
        <v>0.31944775474343939</v>
      </c>
      <c r="N67" s="247">
        <f>DSUM($B$44:$Y$49,N$44,$B$56:$C67)</f>
        <v>0.31420875705897011</v>
      </c>
      <c r="O67" s="247">
        <f>DSUM($B$44:$Y$49,O$44,$B$56:$C67)</f>
        <v>0.30988581757699835</v>
      </c>
      <c r="P67" s="247">
        <f>DSUM($B$44:$Y$49,P$44,$B$56:$C67)</f>
        <v>0.30661259940319274</v>
      </c>
      <c r="Q67" s="247">
        <f>DSUM($B$44:$Y$49,Q$44,$B$56:$C67)</f>
        <v>0.30378067675758241</v>
      </c>
      <c r="R67" s="247">
        <f>DSUM($B$44:$Y$49,R$44,$B$56:$C67)</f>
        <v>0.30096448872480808</v>
      </c>
      <c r="S67" s="247">
        <f>DSUM($B$44:$Y$49,S$44,$B$56:$C67)</f>
        <v>0.29830402992478289</v>
      </c>
      <c r="T67" s="247">
        <f>DSUM($B$44:$Y$49,T$44,$B$56:$C67)</f>
        <v>0.29589378057466803</v>
      </c>
      <c r="U67" s="247">
        <f>DSUM($B$44:$Y$49,U$44,$B$56:$C67)</f>
        <v>0.29373392023686173</v>
      </c>
      <c r="V67" s="247">
        <f>DSUM($B$44:$Y$49,V$44,$B$56:$C67)</f>
        <v>0.29178880196581902</v>
      </c>
      <c r="W67" s="247">
        <f>DSUM($B$44:$Y$49,W$44,$B$56:$C67)</f>
        <v>0.29003168600709872</v>
      </c>
      <c r="X67" s="247">
        <f>DSUM($B$44:$Y$49,X$44,$B$56:$C67)</f>
        <v>0.28881018674586145</v>
      </c>
      <c r="Y67" s="32">
        <f>DSUM($B$44:$Y$49,Y$44,$B$56:$C67)</f>
        <v>6.057250720642374</v>
      </c>
    </row>
    <row r="68" spans="1:25">
      <c r="A68" s="11" t="s">
        <v>651</v>
      </c>
      <c r="B68" s="272" t="s">
        <v>707</v>
      </c>
      <c r="C68" s="272" t="s">
        <v>708</v>
      </c>
      <c r="D68" s="272"/>
      <c r="E68" s="247">
        <f>DSUM($B$44:$Y$49,E$44,$B$56:$C68)</f>
        <v>0.21471072514155776</v>
      </c>
      <c r="F68" s="247">
        <f>DSUM($B$44:$Y$49,F$44,$B$56:$C68)</f>
        <v>0.26873087857873806</v>
      </c>
      <c r="G68" s="247">
        <f>DSUM($B$44:$Y$49,G$44,$B$56:$C68)</f>
        <v>0.30705388949092127</v>
      </c>
      <c r="H68" s="247">
        <f>DSUM($B$44:$Y$49,H$44,$B$56:$C68)</f>
        <v>0.3272353771297899</v>
      </c>
      <c r="I68" s="247">
        <f>DSUM($B$44:$Y$49,I$44,$B$56:$C68)</f>
        <v>0.33498791267204181</v>
      </c>
      <c r="J68" s="247">
        <f>DSUM($B$44:$Y$49,J$44,$B$56:$C68)</f>
        <v>0.33483049285618016</v>
      </c>
      <c r="K68" s="247">
        <f>DSUM($B$44:$Y$49,K$44,$B$56:$C68)</f>
        <v>0.33089431940701053</v>
      </c>
      <c r="L68" s="247">
        <f>DSUM($B$44:$Y$49,L$44,$B$56:$C68)</f>
        <v>0.32534462564605182</v>
      </c>
      <c r="M68" s="247">
        <f>DSUM($B$44:$Y$49,M$44,$B$56:$C68)</f>
        <v>0.31944775474343939</v>
      </c>
      <c r="N68" s="247">
        <f>DSUM($B$44:$Y$49,N$44,$B$56:$C68)</f>
        <v>0.31420875705897011</v>
      </c>
      <c r="O68" s="247">
        <f>DSUM($B$44:$Y$49,O$44,$B$56:$C68)</f>
        <v>0.30988581757699835</v>
      </c>
      <c r="P68" s="247">
        <f>DSUM($B$44:$Y$49,P$44,$B$56:$C68)</f>
        <v>0.30661259940319274</v>
      </c>
      <c r="Q68" s="247">
        <f>DSUM($B$44:$Y$49,Q$44,$B$56:$C68)</f>
        <v>0.30378067675758241</v>
      </c>
      <c r="R68" s="247">
        <f>DSUM($B$44:$Y$49,R$44,$B$56:$C68)</f>
        <v>0.30096448872480808</v>
      </c>
      <c r="S68" s="247">
        <f>DSUM($B$44:$Y$49,S$44,$B$56:$C68)</f>
        <v>0.29830402992478289</v>
      </c>
      <c r="T68" s="247">
        <f>DSUM($B$44:$Y$49,T$44,$B$56:$C68)</f>
        <v>0.29589378057466803</v>
      </c>
      <c r="U68" s="247">
        <f>DSUM($B$44:$Y$49,U$44,$B$56:$C68)</f>
        <v>0.29373392023686173</v>
      </c>
      <c r="V68" s="247">
        <f>DSUM($B$44:$Y$49,V$44,$B$56:$C68)</f>
        <v>0.29178880196581902</v>
      </c>
      <c r="W68" s="247">
        <f>DSUM($B$44:$Y$49,W$44,$B$56:$C68)</f>
        <v>0.29003168600709872</v>
      </c>
      <c r="X68" s="247">
        <f>DSUM($B$44:$Y$49,X$44,$B$56:$C68)</f>
        <v>0.28881018674586145</v>
      </c>
      <c r="Y68" s="32">
        <f>DSUM($B$44:$Y$49,Y$44,$B$56:$C68)</f>
        <v>6.057250720642374</v>
      </c>
    </row>
    <row r="69" spans="1:25">
      <c r="A69" s="11" t="s">
        <v>652</v>
      </c>
      <c r="B69" s="272" t="s">
        <v>709</v>
      </c>
      <c r="C69" s="272" t="s">
        <v>710</v>
      </c>
      <c r="D69" s="272"/>
      <c r="E69" s="247">
        <f>DSUM($B$44:$Y$49,E$44,$B$56:$C69)</f>
        <v>0.21471072514155776</v>
      </c>
      <c r="F69" s="247">
        <f>DSUM($B$44:$Y$49,F$44,$B$56:$C69)</f>
        <v>0.26873087857873806</v>
      </c>
      <c r="G69" s="247">
        <f>DSUM($B$44:$Y$49,G$44,$B$56:$C69)</f>
        <v>0.30705388949092127</v>
      </c>
      <c r="H69" s="247">
        <f>DSUM($B$44:$Y$49,H$44,$B$56:$C69)</f>
        <v>0.3272353771297899</v>
      </c>
      <c r="I69" s="247">
        <f>DSUM($B$44:$Y$49,I$44,$B$56:$C69)</f>
        <v>0.33498791267204181</v>
      </c>
      <c r="J69" s="247">
        <f>DSUM($B$44:$Y$49,J$44,$B$56:$C69)</f>
        <v>0.33483049285618016</v>
      </c>
      <c r="K69" s="247">
        <f>DSUM($B$44:$Y$49,K$44,$B$56:$C69)</f>
        <v>0.33089431940701053</v>
      </c>
      <c r="L69" s="247">
        <f>DSUM($B$44:$Y$49,L$44,$B$56:$C69)</f>
        <v>0.32534462564605182</v>
      </c>
      <c r="M69" s="247">
        <f>DSUM($B$44:$Y$49,M$44,$B$56:$C69)</f>
        <v>0.31944775474343939</v>
      </c>
      <c r="N69" s="247">
        <f>DSUM($B$44:$Y$49,N$44,$B$56:$C69)</f>
        <v>0.31420875705897011</v>
      </c>
      <c r="O69" s="247">
        <f>DSUM($B$44:$Y$49,O$44,$B$56:$C69)</f>
        <v>0.30988581757699835</v>
      </c>
      <c r="P69" s="247">
        <f>DSUM($B$44:$Y$49,P$44,$B$56:$C69)</f>
        <v>0.30661259940319274</v>
      </c>
      <c r="Q69" s="247">
        <f>DSUM($B$44:$Y$49,Q$44,$B$56:$C69)</f>
        <v>0.30378067675758241</v>
      </c>
      <c r="R69" s="247">
        <f>DSUM($B$44:$Y$49,R$44,$B$56:$C69)</f>
        <v>0.30096448872480808</v>
      </c>
      <c r="S69" s="247">
        <f>DSUM($B$44:$Y$49,S$44,$B$56:$C69)</f>
        <v>0.29830402992478289</v>
      </c>
      <c r="T69" s="247">
        <f>DSUM($B$44:$Y$49,T$44,$B$56:$C69)</f>
        <v>0.29589378057466803</v>
      </c>
      <c r="U69" s="247">
        <f>DSUM($B$44:$Y$49,U$44,$B$56:$C69)</f>
        <v>0.29373392023686173</v>
      </c>
      <c r="V69" s="247">
        <f>DSUM($B$44:$Y$49,V$44,$B$56:$C69)</f>
        <v>0.29178880196581902</v>
      </c>
      <c r="W69" s="247">
        <f>DSUM($B$44:$Y$49,W$44,$B$56:$C69)</f>
        <v>0.29003168600709872</v>
      </c>
      <c r="X69" s="247">
        <f>DSUM($B$44:$Y$49,X$44,$B$56:$C69)</f>
        <v>0.28881018674586145</v>
      </c>
      <c r="Y69" s="32">
        <f>DSUM($B$44:$Y$49,Y$44,$B$56:$C69)</f>
        <v>6.057250720642374</v>
      </c>
    </row>
    <row r="70" spans="1:25">
      <c r="A70" s="11" t="s">
        <v>653</v>
      </c>
      <c r="B70" s="272" t="s">
        <v>711</v>
      </c>
      <c r="C70" s="272" t="s">
        <v>712</v>
      </c>
      <c r="D70" s="272"/>
      <c r="E70" s="247">
        <f>DSUM($B$44:$Y$49,E$44,$B$56:$C70)</f>
        <v>0.21471072514155776</v>
      </c>
      <c r="F70" s="247">
        <f>DSUM($B$44:$Y$49,F$44,$B$56:$C70)</f>
        <v>0.26873087857873806</v>
      </c>
      <c r="G70" s="247">
        <f>DSUM($B$44:$Y$49,G$44,$B$56:$C70)</f>
        <v>0.30705388949092127</v>
      </c>
      <c r="H70" s="247">
        <f>DSUM($B$44:$Y$49,H$44,$B$56:$C70)</f>
        <v>0.3272353771297899</v>
      </c>
      <c r="I70" s="247">
        <f>DSUM($B$44:$Y$49,I$44,$B$56:$C70)</f>
        <v>0.33498791267204181</v>
      </c>
      <c r="J70" s="247">
        <f>DSUM($B$44:$Y$49,J$44,$B$56:$C70)</f>
        <v>0.33483049285618016</v>
      </c>
      <c r="K70" s="247">
        <f>DSUM($B$44:$Y$49,K$44,$B$56:$C70)</f>
        <v>0.33089431940701053</v>
      </c>
      <c r="L70" s="247">
        <f>DSUM($B$44:$Y$49,L$44,$B$56:$C70)</f>
        <v>0.32534462564605182</v>
      </c>
      <c r="M70" s="247">
        <f>DSUM($B$44:$Y$49,M$44,$B$56:$C70)</f>
        <v>0.31944775474343939</v>
      </c>
      <c r="N70" s="247">
        <f>DSUM($B$44:$Y$49,N$44,$B$56:$C70)</f>
        <v>0.31420875705897011</v>
      </c>
      <c r="O70" s="247">
        <f>DSUM($B$44:$Y$49,O$44,$B$56:$C70)</f>
        <v>0.30988581757699835</v>
      </c>
      <c r="P70" s="247">
        <f>DSUM($B$44:$Y$49,P$44,$B$56:$C70)</f>
        <v>0.30661259940319274</v>
      </c>
      <c r="Q70" s="247">
        <f>DSUM($B$44:$Y$49,Q$44,$B$56:$C70)</f>
        <v>0.30378067675758241</v>
      </c>
      <c r="R70" s="247">
        <f>DSUM($B$44:$Y$49,R$44,$B$56:$C70)</f>
        <v>0.30096448872480808</v>
      </c>
      <c r="S70" s="247">
        <f>DSUM($B$44:$Y$49,S$44,$B$56:$C70)</f>
        <v>0.29830402992478289</v>
      </c>
      <c r="T70" s="247">
        <f>DSUM($B$44:$Y$49,T$44,$B$56:$C70)</f>
        <v>0.29589378057466803</v>
      </c>
      <c r="U70" s="247">
        <f>DSUM($B$44:$Y$49,U$44,$B$56:$C70)</f>
        <v>0.29373392023686173</v>
      </c>
      <c r="V70" s="247">
        <f>DSUM($B$44:$Y$49,V$44,$B$56:$C70)</f>
        <v>0.29178880196581902</v>
      </c>
      <c r="W70" s="247">
        <f>DSUM($B$44:$Y$49,W$44,$B$56:$C70)</f>
        <v>0.29003168600709872</v>
      </c>
      <c r="X70" s="247">
        <f>DSUM($B$44:$Y$49,X$44,$B$56:$C70)</f>
        <v>0.28881018674586145</v>
      </c>
      <c r="Y70" s="32">
        <f>DSUM($B$44:$Y$49,Y$44,$B$56:$C70)</f>
        <v>6.057250720642374</v>
      </c>
    </row>
    <row r="71" spans="1:25">
      <c r="A71" s="11" t="s">
        <v>654</v>
      </c>
      <c r="B71" s="272" t="s">
        <v>713</v>
      </c>
      <c r="C71" s="272" t="s">
        <v>714</v>
      </c>
      <c r="D71" s="272"/>
      <c r="E71" s="247">
        <f>DSUM($B$44:$Y$49,E$44,$B$56:$C71)</f>
        <v>0.21471072514155776</v>
      </c>
      <c r="F71" s="247">
        <f>DSUM($B$44:$Y$49,F$44,$B$56:$C71)</f>
        <v>0.26873087857873806</v>
      </c>
      <c r="G71" s="247">
        <f>DSUM($B$44:$Y$49,G$44,$B$56:$C71)</f>
        <v>0.30705388949092127</v>
      </c>
      <c r="H71" s="247">
        <f>DSUM($B$44:$Y$49,H$44,$B$56:$C71)</f>
        <v>0.3272353771297899</v>
      </c>
      <c r="I71" s="247">
        <f>DSUM($B$44:$Y$49,I$44,$B$56:$C71)</f>
        <v>0.33498791267204181</v>
      </c>
      <c r="J71" s="247">
        <f>DSUM($B$44:$Y$49,J$44,$B$56:$C71)</f>
        <v>0.33483049285618016</v>
      </c>
      <c r="K71" s="247">
        <f>DSUM($B$44:$Y$49,K$44,$B$56:$C71)</f>
        <v>0.33089431940701053</v>
      </c>
      <c r="L71" s="247">
        <f>DSUM($B$44:$Y$49,L$44,$B$56:$C71)</f>
        <v>0.32534462564605182</v>
      </c>
      <c r="M71" s="247">
        <f>DSUM($B$44:$Y$49,M$44,$B$56:$C71)</f>
        <v>0.31944775474343939</v>
      </c>
      <c r="N71" s="247">
        <f>DSUM($B$44:$Y$49,N$44,$B$56:$C71)</f>
        <v>0.31420875705897011</v>
      </c>
      <c r="O71" s="247">
        <f>DSUM($B$44:$Y$49,O$44,$B$56:$C71)</f>
        <v>0.30988581757699835</v>
      </c>
      <c r="P71" s="247">
        <f>DSUM($B$44:$Y$49,P$44,$B$56:$C71)</f>
        <v>0.30661259940319274</v>
      </c>
      <c r="Q71" s="247">
        <f>DSUM($B$44:$Y$49,Q$44,$B$56:$C71)</f>
        <v>0.30378067675758241</v>
      </c>
      <c r="R71" s="247">
        <f>DSUM($B$44:$Y$49,R$44,$B$56:$C71)</f>
        <v>0.30096448872480808</v>
      </c>
      <c r="S71" s="247">
        <f>DSUM($B$44:$Y$49,S$44,$B$56:$C71)</f>
        <v>0.29830402992478289</v>
      </c>
      <c r="T71" s="247">
        <f>DSUM($B$44:$Y$49,T$44,$B$56:$C71)</f>
        <v>0.29589378057466803</v>
      </c>
      <c r="U71" s="247">
        <f>DSUM($B$44:$Y$49,U$44,$B$56:$C71)</f>
        <v>0.29373392023686173</v>
      </c>
      <c r="V71" s="247">
        <f>DSUM($B$44:$Y$49,V$44,$B$56:$C71)</f>
        <v>0.29178880196581902</v>
      </c>
      <c r="W71" s="247">
        <f>DSUM($B$44:$Y$49,W$44,$B$56:$C71)</f>
        <v>0.29003168600709872</v>
      </c>
      <c r="X71" s="247">
        <f>DSUM($B$44:$Y$49,X$44,$B$56:$C71)</f>
        <v>0.28881018674586145</v>
      </c>
      <c r="Y71" s="32">
        <f>DSUM($B$44:$Y$49,Y$44,$B$56:$C71)</f>
        <v>6.057250720642374</v>
      </c>
    </row>
    <row r="72" spans="1:25">
      <c r="A72" s="11" t="s">
        <v>655</v>
      </c>
      <c r="B72" s="272" t="s">
        <v>715</v>
      </c>
      <c r="C72" s="272" t="s">
        <v>716</v>
      </c>
      <c r="D72" s="272"/>
      <c r="E72" s="247">
        <f>DSUM($B$44:$Y$49,E$44,$B$56:$C72)</f>
        <v>0.21471072514155776</v>
      </c>
      <c r="F72" s="247">
        <f>DSUM($B$44:$Y$49,F$44,$B$56:$C72)</f>
        <v>0.26873087857873806</v>
      </c>
      <c r="G72" s="247">
        <f>DSUM($B$44:$Y$49,G$44,$B$56:$C72)</f>
        <v>0.30705388949092127</v>
      </c>
      <c r="H72" s="247">
        <f>DSUM($B$44:$Y$49,H$44,$B$56:$C72)</f>
        <v>0.3272353771297899</v>
      </c>
      <c r="I72" s="247">
        <f>DSUM($B$44:$Y$49,I$44,$B$56:$C72)</f>
        <v>0.33498791267204181</v>
      </c>
      <c r="J72" s="247">
        <f>DSUM($B$44:$Y$49,J$44,$B$56:$C72)</f>
        <v>0.33483049285618016</v>
      </c>
      <c r="K72" s="247">
        <f>DSUM($B$44:$Y$49,K$44,$B$56:$C72)</f>
        <v>0.33089431940701053</v>
      </c>
      <c r="L72" s="247">
        <f>DSUM($B$44:$Y$49,L$44,$B$56:$C72)</f>
        <v>0.32534462564605182</v>
      </c>
      <c r="M72" s="247">
        <f>DSUM($B$44:$Y$49,M$44,$B$56:$C72)</f>
        <v>0.31944775474343939</v>
      </c>
      <c r="N72" s="247">
        <f>DSUM($B$44:$Y$49,N$44,$B$56:$C72)</f>
        <v>0.31420875705897011</v>
      </c>
      <c r="O72" s="247">
        <f>DSUM($B$44:$Y$49,O$44,$B$56:$C72)</f>
        <v>0.30988581757699835</v>
      </c>
      <c r="P72" s="247">
        <f>DSUM($B$44:$Y$49,P$44,$B$56:$C72)</f>
        <v>0.30661259940319274</v>
      </c>
      <c r="Q72" s="247">
        <f>DSUM($B$44:$Y$49,Q$44,$B$56:$C72)</f>
        <v>0.30378067675758241</v>
      </c>
      <c r="R72" s="247">
        <f>DSUM($B$44:$Y$49,R$44,$B$56:$C72)</f>
        <v>0.30096448872480808</v>
      </c>
      <c r="S72" s="247">
        <f>DSUM($B$44:$Y$49,S$44,$B$56:$C72)</f>
        <v>0.29830402992478289</v>
      </c>
      <c r="T72" s="247">
        <f>DSUM($B$44:$Y$49,T$44,$B$56:$C72)</f>
        <v>0.29589378057466803</v>
      </c>
      <c r="U72" s="247">
        <f>DSUM($B$44:$Y$49,U$44,$B$56:$C72)</f>
        <v>0.29373392023686173</v>
      </c>
      <c r="V72" s="247">
        <f>DSUM($B$44:$Y$49,V$44,$B$56:$C72)</f>
        <v>0.29178880196581902</v>
      </c>
      <c r="W72" s="247">
        <f>DSUM($B$44:$Y$49,W$44,$B$56:$C72)</f>
        <v>0.29003168600709872</v>
      </c>
      <c r="X72" s="247">
        <f>DSUM($B$44:$Y$49,X$44,$B$56:$C72)</f>
        <v>0.28881018674586145</v>
      </c>
      <c r="Y72" s="32">
        <f>DSUM($B$44:$Y$49,Y$44,$B$56:$C72)</f>
        <v>6.057250720642374</v>
      </c>
    </row>
    <row r="73" spans="1:25">
      <c r="A73" s="11" t="s">
        <v>656</v>
      </c>
      <c r="B73" s="272" t="s">
        <v>717</v>
      </c>
      <c r="C73" s="272" t="s">
        <v>718</v>
      </c>
      <c r="D73" s="272"/>
      <c r="E73" s="247">
        <f>DSUM($B$44:$Y$49,E$44,$B$56:$C73)</f>
        <v>0.21471072514155776</v>
      </c>
      <c r="F73" s="247">
        <f>DSUM($B$44:$Y$49,F$44,$B$56:$C73)</f>
        <v>0.26873087857873806</v>
      </c>
      <c r="G73" s="247">
        <f>DSUM($B$44:$Y$49,G$44,$B$56:$C73)</f>
        <v>0.30705388949092127</v>
      </c>
      <c r="H73" s="247">
        <f>DSUM($B$44:$Y$49,H$44,$B$56:$C73)</f>
        <v>0.3272353771297899</v>
      </c>
      <c r="I73" s="247">
        <f>DSUM($B$44:$Y$49,I$44,$B$56:$C73)</f>
        <v>0.33498791267204181</v>
      </c>
      <c r="J73" s="247">
        <f>DSUM($B$44:$Y$49,J$44,$B$56:$C73)</f>
        <v>0.33483049285618016</v>
      </c>
      <c r="K73" s="247">
        <f>DSUM($B$44:$Y$49,K$44,$B$56:$C73)</f>
        <v>0.33089431940701053</v>
      </c>
      <c r="L73" s="247">
        <f>DSUM($B$44:$Y$49,L$44,$B$56:$C73)</f>
        <v>0.32534462564605182</v>
      </c>
      <c r="M73" s="247">
        <f>DSUM($B$44:$Y$49,M$44,$B$56:$C73)</f>
        <v>0.31944775474343939</v>
      </c>
      <c r="N73" s="247">
        <f>DSUM($B$44:$Y$49,N$44,$B$56:$C73)</f>
        <v>0.31420875705897011</v>
      </c>
      <c r="O73" s="247">
        <f>DSUM($B$44:$Y$49,O$44,$B$56:$C73)</f>
        <v>0.30988581757699835</v>
      </c>
      <c r="P73" s="247">
        <f>DSUM($B$44:$Y$49,P$44,$B$56:$C73)</f>
        <v>0.30661259940319274</v>
      </c>
      <c r="Q73" s="247">
        <f>DSUM($B$44:$Y$49,Q$44,$B$56:$C73)</f>
        <v>0.30378067675758241</v>
      </c>
      <c r="R73" s="247">
        <f>DSUM($B$44:$Y$49,R$44,$B$56:$C73)</f>
        <v>0.30096448872480808</v>
      </c>
      <c r="S73" s="247">
        <f>DSUM($B$44:$Y$49,S$44,$B$56:$C73)</f>
        <v>0.29830402992478289</v>
      </c>
      <c r="T73" s="247">
        <f>DSUM($B$44:$Y$49,T$44,$B$56:$C73)</f>
        <v>0.29589378057466803</v>
      </c>
      <c r="U73" s="247">
        <f>DSUM($B$44:$Y$49,U$44,$B$56:$C73)</f>
        <v>0.29373392023686173</v>
      </c>
      <c r="V73" s="247">
        <f>DSUM($B$44:$Y$49,V$44,$B$56:$C73)</f>
        <v>0.29178880196581902</v>
      </c>
      <c r="W73" s="247">
        <f>DSUM($B$44:$Y$49,W$44,$B$56:$C73)</f>
        <v>0.29003168600709872</v>
      </c>
      <c r="X73" s="247">
        <f>DSUM($B$44:$Y$49,X$44,$B$56:$C73)</f>
        <v>0.28881018674586145</v>
      </c>
      <c r="Y73" s="32">
        <f>DSUM($B$44:$Y$49,Y$44,$B$56:$C73)</f>
        <v>6.057250720642374</v>
      </c>
    </row>
    <row r="74" spans="1:25">
      <c r="A74" s="11" t="s">
        <v>657</v>
      </c>
      <c r="B74" s="272" t="s">
        <v>719</v>
      </c>
      <c r="C74" s="272" t="s">
        <v>720</v>
      </c>
      <c r="D74" s="272"/>
      <c r="E74" s="247">
        <f>DSUM($B$44:$Y$49,E$44,$B$56:$C74)</f>
        <v>0.21471072514155776</v>
      </c>
      <c r="F74" s="247">
        <f>DSUM($B$44:$Y$49,F$44,$B$56:$C74)</f>
        <v>0.26873087857873806</v>
      </c>
      <c r="G74" s="247">
        <f>DSUM($B$44:$Y$49,G$44,$B$56:$C74)</f>
        <v>0.30705388949092127</v>
      </c>
      <c r="H74" s="247">
        <f>DSUM($B$44:$Y$49,H$44,$B$56:$C74)</f>
        <v>0.3272353771297899</v>
      </c>
      <c r="I74" s="247">
        <f>DSUM($B$44:$Y$49,I$44,$B$56:$C74)</f>
        <v>0.33498791267204181</v>
      </c>
      <c r="J74" s="247">
        <f>DSUM($B$44:$Y$49,J$44,$B$56:$C74)</f>
        <v>0.33483049285618016</v>
      </c>
      <c r="K74" s="247">
        <f>DSUM($B$44:$Y$49,K$44,$B$56:$C74)</f>
        <v>0.33089431940701053</v>
      </c>
      <c r="L74" s="247">
        <f>DSUM($B$44:$Y$49,L$44,$B$56:$C74)</f>
        <v>0.32534462564605182</v>
      </c>
      <c r="M74" s="247">
        <f>DSUM($B$44:$Y$49,M$44,$B$56:$C74)</f>
        <v>0.31944775474343939</v>
      </c>
      <c r="N74" s="247">
        <f>DSUM($B$44:$Y$49,N$44,$B$56:$C74)</f>
        <v>0.31420875705897011</v>
      </c>
      <c r="O74" s="247">
        <f>DSUM($B$44:$Y$49,O$44,$B$56:$C74)</f>
        <v>0.30988581757699835</v>
      </c>
      <c r="P74" s="247">
        <f>DSUM($B$44:$Y$49,P$44,$B$56:$C74)</f>
        <v>0.30661259940319274</v>
      </c>
      <c r="Q74" s="247">
        <f>DSUM($B$44:$Y$49,Q$44,$B$56:$C74)</f>
        <v>0.30378067675758241</v>
      </c>
      <c r="R74" s="247">
        <f>DSUM($B$44:$Y$49,R$44,$B$56:$C74)</f>
        <v>0.30096448872480808</v>
      </c>
      <c r="S74" s="247">
        <f>DSUM($B$44:$Y$49,S$44,$B$56:$C74)</f>
        <v>0.29830402992478289</v>
      </c>
      <c r="T74" s="247">
        <f>DSUM($B$44:$Y$49,T$44,$B$56:$C74)</f>
        <v>0.29589378057466803</v>
      </c>
      <c r="U74" s="247">
        <f>DSUM($B$44:$Y$49,U$44,$B$56:$C74)</f>
        <v>0.29373392023686173</v>
      </c>
      <c r="V74" s="247">
        <f>DSUM($B$44:$Y$49,V$44,$B$56:$C74)</f>
        <v>0.29178880196581902</v>
      </c>
      <c r="W74" s="247">
        <f>DSUM($B$44:$Y$49,W$44,$B$56:$C74)</f>
        <v>0.29003168600709872</v>
      </c>
      <c r="X74" s="247">
        <f>DSUM($B$44:$Y$49,X$44,$B$56:$C74)</f>
        <v>0.28881018674586145</v>
      </c>
      <c r="Y74" s="32">
        <f>DSUM($B$44:$Y$49,Y$44,$B$56:$C74)</f>
        <v>6.057250720642374</v>
      </c>
    </row>
    <row r="75" spans="1:25">
      <c r="A75" s="11" t="s">
        <v>658</v>
      </c>
      <c r="B75" s="272" t="s">
        <v>721</v>
      </c>
      <c r="C75" s="272" t="s">
        <v>722</v>
      </c>
      <c r="D75" s="272"/>
      <c r="E75" s="247">
        <f>DSUM($B$44:$Y$49,E$44,$B$56:$C75)</f>
        <v>0.21471072514155776</v>
      </c>
      <c r="F75" s="247">
        <f>DSUM($B$44:$Y$49,F$44,$B$56:$C75)</f>
        <v>0.26873087857873806</v>
      </c>
      <c r="G75" s="247">
        <f>DSUM($B$44:$Y$49,G$44,$B$56:$C75)</f>
        <v>0.30705388949092127</v>
      </c>
      <c r="H75" s="247">
        <f>DSUM($B$44:$Y$49,H$44,$B$56:$C75)</f>
        <v>0.3272353771297899</v>
      </c>
      <c r="I75" s="247">
        <f>DSUM($B$44:$Y$49,I$44,$B$56:$C75)</f>
        <v>0.33498791267204181</v>
      </c>
      <c r="J75" s="247">
        <f>DSUM($B$44:$Y$49,J$44,$B$56:$C75)</f>
        <v>0.33483049285618016</v>
      </c>
      <c r="K75" s="247">
        <f>DSUM($B$44:$Y$49,K$44,$B$56:$C75)</f>
        <v>0.33089431940701053</v>
      </c>
      <c r="L75" s="247">
        <f>DSUM($B$44:$Y$49,L$44,$B$56:$C75)</f>
        <v>0.32534462564605182</v>
      </c>
      <c r="M75" s="247">
        <f>DSUM($B$44:$Y$49,M$44,$B$56:$C75)</f>
        <v>0.31944775474343939</v>
      </c>
      <c r="N75" s="247">
        <f>DSUM($B$44:$Y$49,N$44,$B$56:$C75)</f>
        <v>0.31420875705897011</v>
      </c>
      <c r="O75" s="247">
        <f>DSUM($B$44:$Y$49,O$44,$B$56:$C75)</f>
        <v>0.30988581757699835</v>
      </c>
      <c r="P75" s="247">
        <f>DSUM($B$44:$Y$49,P$44,$B$56:$C75)</f>
        <v>0.30661259940319274</v>
      </c>
      <c r="Q75" s="247">
        <f>DSUM($B$44:$Y$49,Q$44,$B$56:$C75)</f>
        <v>0.30378067675758241</v>
      </c>
      <c r="R75" s="247">
        <f>DSUM($B$44:$Y$49,R$44,$B$56:$C75)</f>
        <v>0.30096448872480808</v>
      </c>
      <c r="S75" s="247">
        <f>DSUM($B$44:$Y$49,S$44,$B$56:$C75)</f>
        <v>0.29830402992478289</v>
      </c>
      <c r="T75" s="247">
        <f>DSUM($B$44:$Y$49,T$44,$B$56:$C75)</f>
        <v>0.29589378057466803</v>
      </c>
      <c r="U75" s="247">
        <f>DSUM($B$44:$Y$49,U$44,$B$56:$C75)</f>
        <v>0.29373392023686173</v>
      </c>
      <c r="V75" s="247">
        <f>DSUM($B$44:$Y$49,V$44,$B$56:$C75)</f>
        <v>0.29178880196581902</v>
      </c>
      <c r="W75" s="247">
        <f>DSUM($B$44:$Y$49,W$44,$B$56:$C75)</f>
        <v>0.29003168600709872</v>
      </c>
      <c r="X75" s="247">
        <f>DSUM($B$44:$Y$49,X$44,$B$56:$C75)</f>
        <v>0.28881018674586145</v>
      </c>
      <c r="Y75" s="32">
        <f>DSUM($B$44:$Y$49,Y$44,$B$56:$C75)</f>
        <v>6.057250720642374</v>
      </c>
    </row>
    <row r="76" spans="1:25">
      <c r="A76" s="11" t="s">
        <v>659</v>
      </c>
      <c r="B76" s="272" t="s">
        <v>723</v>
      </c>
      <c r="C76" s="272" t="s">
        <v>724</v>
      </c>
      <c r="D76" s="272"/>
      <c r="E76" s="247">
        <f>DSUM($B$44:$Y$49,E$44,$B$56:$C76)</f>
        <v>0.21471072514155776</v>
      </c>
      <c r="F76" s="247">
        <f>DSUM($B$44:$Y$49,F$44,$B$56:$C76)</f>
        <v>0.26873087857873806</v>
      </c>
      <c r="G76" s="247">
        <f>DSUM($B$44:$Y$49,G$44,$B$56:$C76)</f>
        <v>0.30705388949092127</v>
      </c>
      <c r="H76" s="247">
        <f>DSUM($B$44:$Y$49,H$44,$B$56:$C76)</f>
        <v>0.3272353771297899</v>
      </c>
      <c r="I76" s="247">
        <f>DSUM($B$44:$Y$49,I$44,$B$56:$C76)</f>
        <v>0.33498791267204181</v>
      </c>
      <c r="J76" s="247">
        <f>DSUM($B$44:$Y$49,J$44,$B$56:$C76)</f>
        <v>0.33483049285618016</v>
      </c>
      <c r="K76" s="247">
        <f>DSUM($B$44:$Y$49,K$44,$B$56:$C76)</f>
        <v>0.33089431940701053</v>
      </c>
      <c r="L76" s="247">
        <f>DSUM($B$44:$Y$49,L$44,$B$56:$C76)</f>
        <v>0.32534462564605182</v>
      </c>
      <c r="M76" s="247">
        <f>DSUM($B$44:$Y$49,M$44,$B$56:$C76)</f>
        <v>0.31944775474343939</v>
      </c>
      <c r="N76" s="247">
        <f>DSUM($B$44:$Y$49,N$44,$B$56:$C76)</f>
        <v>0.31420875705897011</v>
      </c>
      <c r="O76" s="247">
        <f>DSUM($B$44:$Y$49,O$44,$B$56:$C76)</f>
        <v>0.30988581757699835</v>
      </c>
      <c r="P76" s="247">
        <f>DSUM($B$44:$Y$49,P$44,$B$56:$C76)</f>
        <v>0.30661259940319274</v>
      </c>
      <c r="Q76" s="247">
        <f>DSUM($B$44:$Y$49,Q$44,$B$56:$C76)</f>
        <v>0.30378067675758241</v>
      </c>
      <c r="R76" s="247">
        <f>DSUM($B$44:$Y$49,R$44,$B$56:$C76)</f>
        <v>0.30096448872480808</v>
      </c>
      <c r="S76" s="247">
        <f>DSUM($B$44:$Y$49,S$44,$B$56:$C76)</f>
        <v>0.29830402992478289</v>
      </c>
      <c r="T76" s="247">
        <f>DSUM($B$44:$Y$49,T$44,$B$56:$C76)</f>
        <v>0.29589378057466803</v>
      </c>
      <c r="U76" s="247">
        <f>DSUM($B$44:$Y$49,U$44,$B$56:$C76)</f>
        <v>0.29373392023686173</v>
      </c>
      <c r="V76" s="247">
        <f>DSUM($B$44:$Y$49,V$44,$B$56:$C76)</f>
        <v>0.29178880196581902</v>
      </c>
      <c r="W76" s="247">
        <f>DSUM($B$44:$Y$49,W$44,$B$56:$C76)</f>
        <v>0.29003168600709872</v>
      </c>
      <c r="X76" s="247">
        <f>DSUM($B$44:$Y$49,X$44,$B$56:$C76)</f>
        <v>0.28881018674586145</v>
      </c>
      <c r="Y76" s="32">
        <f>DSUM($B$44:$Y$49,Y$44,$B$56:$C76)</f>
        <v>6.057250720642374</v>
      </c>
    </row>
    <row r="77" spans="1:25">
      <c r="A77" s="11" t="s">
        <v>660</v>
      </c>
      <c r="B77" s="272" t="s">
        <v>725</v>
      </c>
      <c r="C77" s="272" t="s">
        <v>726</v>
      </c>
      <c r="D77" s="272"/>
      <c r="E77" s="247">
        <f>DSUM($B$44:$Y$49,E$44,$B$56:$C77)</f>
        <v>0.21471072514155776</v>
      </c>
      <c r="F77" s="247">
        <f>DSUM($B$44:$Y$49,F$44,$B$56:$C77)</f>
        <v>0.26873087857873806</v>
      </c>
      <c r="G77" s="247">
        <f>DSUM($B$44:$Y$49,G$44,$B$56:$C77)</f>
        <v>0.30705388949092127</v>
      </c>
      <c r="H77" s="247">
        <f>DSUM($B$44:$Y$49,H$44,$B$56:$C77)</f>
        <v>0.3272353771297899</v>
      </c>
      <c r="I77" s="247">
        <f>DSUM($B$44:$Y$49,I$44,$B$56:$C77)</f>
        <v>0.33498791267204181</v>
      </c>
      <c r="J77" s="247">
        <f>DSUM($B$44:$Y$49,J$44,$B$56:$C77)</f>
        <v>0.33483049285618016</v>
      </c>
      <c r="K77" s="247">
        <f>DSUM($B$44:$Y$49,K$44,$B$56:$C77)</f>
        <v>0.33089431940701053</v>
      </c>
      <c r="L77" s="247">
        <f>DSUM($B$44:$Y$49,L$44,$B$56:$C77)</f>
        <v>0.32534462564605182</v>
      </c>
      <c r="M77" s="247">
        <f>DSUM($B$44:$Y$49,M$44,$B$56:$C77)</f>
        <v>0.31944775474343939</v>
      </c>
      <c r="N77" s="247">
        <f>DSUM($B$44:$Y$49,N$44,$B$56:$C77)</f>
        <v>0.31420875705897011</v>
      </c>
      <c r="O77" s="247">
        <f>DSUM($B$44:$Y$49,O$44,$B$56:$C77)</f>
        <v>0.30988581757699835</v>
      </c>
      <c r="P77" s="247">
        <f>DSUM($B$44:$Y$49,P$44,$B$56:$C77)</f>
        <v>0.30661259940319274</v>
      </c>
      <c r="Q77" s="247">
        <f>DSUM($B$44:$Y$49,Q$44,$B$56:$C77)</f>
        <v>0.30378067675758241</v>
      </c>
      <c r="R77" s="247">
        <f>DSUM($B$44:$Y$49,R$44,$B$56:$C77)</f>
        <v>0.30096448872480808</v>
      </c>
      <c r="S77" s="247">
        <f>DSUM($B$44:$Y$49,S$44,$B$56:$C77)</f>
        <v>0.29830402992478289</v>
      </c>
      <c r="T77" s="247">
        <f>DSUM($B$44:$Y$49,T$44,$B$56:$C77)</f>
        <v>0.29589378057466803</v>
      </c>
      <c r="U77" s="247">
        <f>DSUM($B$44:$Y$49,U$44,$B$56:$C77)</f>
        <v>0.29373392023686173</v>
      </c>
      <c r="V77" s="247">
        <f>DSUM($B$44:$Y$49,V$44,$B$56:$C77)</f>
        <v>0.29178880196581902</v>
      </c>
      <c r="W77" s="247">
        <f>DSUM($B$44:$Y$49,W$44,$B$56:$C77)</f>
        <v>0.29003168600709872</v>
      </c>
      <c r="X77" s="247">
        <f>DSUM($B$44:$Y$49,X$44,$B$56:$C77)</f>
        <v>0.28881018674586145</v>
      </c>
      <c r="Y77" s="32">
        <f>DSUM($B$44:$Y$49,Y$44,$B$56:$C77)</f>
        <v>6.057250720642374</v>
      </c>
    </row>
    <row r="78" spans="1:25">
      <c r="A78" s="11" t="s">
        <v>762</v>
      </c>
      <c r="B78" s="272" t="s">
        <v>727</v>
      </c>
      <c r="C78" s="272" t="s">
        <v>752</v>
      </c>
      <c r="D78" s="272"/>
      <c r="E78" s="247">
        <f>DSUM($B$44:$Y$49,E$44,$B$56:$C78)</f>
        <v>0.21471072514155776</v>
      </c>
      <c r="F78" s="247">
        <f>DSUM($B$44:$Y$49,F$44,$B$56:$C78)</f>
        <v>0.26873087857873806</v>
      </c>
      <c r="G78" s="247">
        <f>DSUM($B$44:$Y$49,G$44,$B$56:$C78)</f>
        <v>0.30705388949092127</v>
      </c>
      <c r="H78" s="247">
        <f>DSUM($B$44:$Y$49,H$44,$B$56:$C78)</f>
        <v>0.3272353771297899</v>
      </c>
      <c r="I78" s="247">
        <f>DSUM($B$44:$Y$49,I$44,$B$56:$C78)</f>
        <v>0.33498791267204181</v>
      </c>
      <c r="J78" s="247">
        <f>DSUM($B$44:$Y$49,J$44,$B$56:$C78)</f>
        <v>0.33483049285618016</v>
      </c>
      <c r="K78" s="247">
        <f>DSUM($B$44:$Y$49,K$44,$B$56:$C78)</f>
        <v>0.33089431940701053</v>
      </c>
      <c r="L78" s="247">
        <f>DSUM($B$44:$Y$49,L$44,$B$56:$C78)</f>
        <v>0.32534462564605182</v>
      </c>
      <c r="M78" s="247">
        <f>DSUM($B$44:$Y$49,M$44,$B$56:$C78)</f>
        <v>0.31944775474343939</v>
      </c>
      <c r="N78" s="247">
        <f>DSUM($B$44:$Y$49,N$44,$B$56:$C78)</f>
        <v>0.31420875705897011</v>
      </c>
      <c r="O78" s="247">
        <f>DSUM($B$44:$Y$49,O$44,$B$56:$C78)</f>
        <v>0.30988581757699835</v>
      </c>
      <c r="P78" s="247">
        <f>DSUM($B$44:$Y$49,P$44,$B$56:$C78)</f>
        <v>0.30661259940319274</v>
      </c>
      <c r="Q78" s="247">
        <f>DSUM($B$44:$Y$49,Q$44,$B$56:$C78)</f>
        <v>0.30378067675758241</v>
      </c>
      <c r="R78" s="247">
        <f>DSUM($B$44:$Y$49,R$44,$B$56:$C78)</f>
        <v>0.30096448872480808</v>
      </c>
      <c r="S78" s="247">
        <f>DSUM($B$44:$Y$49,S$44,$B$56:$C78)</f>
        <v>0.29830402992478289</v>
      </c>
      <c r="T78" s="247">
        <f>DSUM($B$44:$Y$49,T$44,$B$56:$C78)</f>
        <v>0.29589378057466803</v>
      </c>
      <c r="U78" s="247">
        <f>DSUM($B$44:$Y$49,U$44,$B$56:$C78)</f>
        <v>0.29373392023686173</v>
      </c>
      <c r="V78" s="247">
        <f>DSUM($B$44:$Y$49,V$44,$B$56:$C78)</f>
        <v>0.29178880196581902</v>
      </c>
      <c r="W78" s="247">
        <f>DSUM($B$44:$Y$49,W$44,$B$56:$C78)</f>
        <v>0.29003168600709872</v>
      </c>
      <c r="X78" s="247">
        <f>DSUM($B$44:$Y$49,X$44,$B$56:$C78)</f>
        <v>0.28881018674586145</v>
      </c>
      <c r="Y78" s="32">
        <f>DSUM($B$44:$Y$49,Y$44,$B$56:$C78)</f>
        <v>6.057250720642374</v>
      </c>
    </row>
    <row r="79" spans="1:25">
      <c r="A79" s="11" t="s">
        <v>763</v>
      </c>
      <c r="B79" s="272" t="s">
        <v>742</v>
      </c>
      <c r="C79" s="272" t="s">
        <v>753</v>
      </c>
      <c r="D79" s="272"/>
      <c r="E79" s="247">
        <f>DSUM($B$44:$Y$49,E$44,$B$56:$C79)</f>
        <v>0.21471072514155776</v>
      </c>
      <c r="F79" s="247">
        <f>DSUM($B$44:$Y$49,F$44,$B$56:$C79)</f>
        <v>0.26873087857873806</v>
      </c>
      <c r="G79" s="247">
        <f>DSUM($B$44:$Y$49,G$44,$B$56:$C79)</f>
        <v>0.30705388949092127</v>
      </c>
      <c r="H79" s="247">
        <f>DSUM($B$44:$Y$49,H$44,$B$56:$C79)</f>
        <v>0.3272353771297899</v>
      </c>
      <c r="I79" s="247">
        <f>DSUM($B$44:$Y$49,I$44,$B$56:$C79)</f>
        <v>0.33498791267204181</v>
      </c>
      <c r="J79" s="247">
        <f>DSUM($B$44:$Y$49,J$44,$B$56:$C79)</f>
        <v>0.33483049285618016</v>
      </c>
      <c r="K79" s="247">
        <f>DSUM($B$44:$Y$49,K$44,$B$56:$C79)</f>
        <v>0.33089431940701053</v>
      </c>
      <c r="L79" s="247">
        <f>DSUM($B$44:$Y$49,L$44,$B$56:$C79)</f>
        <v>0.32534462564605182</v>
      </c>
      <c r="M79" s="247">
        <f>DSUM($B$44:$Y$49,M$44,$B$56:$C79)</f>
        <v>0.31944775474343939</v>
      </c>
      <c r="N79" s="247">
        <f>DSUM($B$44:$Y$49,N$44,$B$56:$C79)</f>
        <v>0.31420875705897011</v>
      </c>
      <c r="O79" s="247">
        <f>DSUM($B$44:$Y$49,O$44,$B$56:$C79)</f>
        <v>0.30988581757699835</v>
      </c>
      <c r="P79" s="247">
        <f>DSUM($B$44:$Y$49,P$44,$B$56:$C79)</f>
        <v>0.30661259940319274</v>
      </c>
      <c r="Q79" s="247">
        <f>DSUM($B$44:$Y$49,Q$44,$B$56:$C79)</f>
        <v>0.30378067675758241</v>
      </c>
      <c r="R79" s="247">
        <f>DSUM($B$44:$Y$49,R$44,$B$56:$C79)</f>
        <v>0.30096448872480808</v>
      </c>
      <c r="S79" s="247">
        <f>DSUM($B$44:$Y$49,S$44,$B$56:$C79)</f>
        <v>0.29830402992478289</v>
      </c>
      <c r="T79" s="247">
        <f>DSUM($B$44:$Y$49,T$44,$B$56:$C79)</f>
        <v>0.29589378057466803</v>
      </c>
      <c r="U79" s="247">
        <f>DSUM($B$44:$Y$49,U$44,$B$56:$C79)</f>
        <v>0.29373392023686173</v>
      </c>
      <c r="V79" s="247">
        <f>DSUM($B$44:$Y$49,V$44,$B$56:$C79)</f>
        <v>0.29178880196581902</v>
      </c>
      <c r="W79" s="247">
        <f>DSUM($B$44:$Y$49,W$44,$B$56:$C79)</f>
        <v>0.29003168600709872</v>
      </c>
      <c r="X79" s="247">
        <f>DSUM($B$44:$Y$49,X$44,$B$56:$C79)</f>
        <v>0.28881018674586145</v>
      </c>
      <c r="Y79" s="32">
        <f>DSUM($B$44:$Y$49,Y$44,$B$56:$C79)</f>
        <v>6.057250720642374</v>
      </c>
    </row>
    <row r="80" spans="1:25">
      <c r="A80" s="11" t="s">
        <v>764</v>
      </c>
      <c r="B80" s="272" t="s">
        <v>743</v>
      </c>
      <c r="C80" s="272" t="s">
        <v>754</v>
      </c>
      <c r="D80" s="272"/>
      <c r="E80" s="247">
        <f>DSUM($B$44:$Y$49,E$44,$B$56:$C80)</f>
        <v>0.21471072514155776</v>
      </c>
      <c r="F80" s="247">
        <f>DSUM($B$44:$Y$49,F$44,$B$56:$C80)</f>
        <v>0.26873087857873806</v>
      </c>
      <c r="G80" s="247">
        <f>DSUM($B$44:$Y$49,G$44,$B$56:$C80)</f>
        <v>0.30705388949092127</v>
      </c>
      <c r="H80" s="247">
        <f>DSUM($B$44:$Y$49,H$44,$B$56:$C80)</f>
        <v>0.3272353771297899</v>
      </c>
      <c r="I80" s="247">
        <f>DSUM($B$44:$Y$49,I$44,$B$56:$C80)</f>
        <v>0.33498791267204181</v>
      </c>
      <c r="J80" s="247">
        <f>DSUM($B$44:$Y$49,J$44,$B$56:$C80)</f>
        <v>0.33483049285618016</v>
      </c>
      <c r="K80" s="247">
        <f>DSUM($B$44:$Y$49,K$44,$B$56:$C80)</f>
        <v>0.33089431940701053</v>
      </c>
      <c r="L80" s="247">
        <f>DSUM($B$44:$Y$49,L$44,$B$56:$C80)</f>
        <v>0.32534462564605182</v>
      </c>
      <c r="M80" s="247">
        <f>DSUM($B$44:$Y$49,M$44,$B$56:$C80)</f>
        <v>0.31944775474343939</v>
      </c>
      <c r="N80" s="247">
        <f>DSUM($B$44:$Y$49,N$44,$B$56:$C80)</f>
        <v>0.31420875705897011</v>
      </c>
      <c r="O80" s="247">
        <f>DSUM($B$44:$Y$49,O$44,$B$56:$C80)</f>
        <v>0.30988581757699835</v>
      </c>
      <c r="P80" s="247">
        <f>DSUM($B$44:$Y$49,P$44,$B$56:$C80)</f>
        <v>0.30661259940319274</v>
      </c>
      <c r="Q80" s="247">
        <f>DSUM($B$44:$Y$49,Q$44,$B$56:$C80)</f>
        <v>0.30378067675758241</v>
      </c>
      <c r="R80" s="247">
        <f>DSUM($B$44:$Y$49,R$44,$B$56:$C80)</f>
        <v>0.30096448872480808</v>
      </c>
      <c r="S80" s="247">
        <f>DSUM($B$44:$Y$49,S$44,$B$56:$C80)</f>
        <v>0.29830402992478289</v>
      </c>
      <c r="T80" s="247">
        <f>DSUM($B$44:$Y$49,T$44,$B$56:$C80)</f>
        <v>0.29589378057466803</v>
      </c>
      <c r="U80" s="247">
        <f>DSUM($B$44:$Y$49,U$44,$B$56:$C80)</f>
        <v>0.29373392023686173</v>
      </c>
      <c r="V80" s="247">
        <f>DSUM($B$44:$Y$49,V$44,$B$56:$C80)</f>
        <v>0.29178880196581902</v>
      </c>
      <c r="W80" s="247">
        <f>DSUM($B$44:$Y$49,W$44,$B$56:$C80)</f>
        <v>0.29003168600709872</v>
      </c>
      <c r="X80" s="247">
        <f>DSUM($B$44:$Y$49,X$44,$B$56:$C80)</f>
        <v>0.28881018674586145</v>
      </c>
      <c r="Y80" s="32">
        <f>DSUM($B$44:$Y$49,Y$44,$B$56:$C80)</f>
        <v>6.057250720642374</v>
      </c>
    </row>
    <row r="81" spans="1:25">
      <c r="A81" s="11" t="s">
        <v>765</v>
      </c>
      <c r="B81" s="272" t="s">
        <v>744</v>
      </c>
      <c r="C81" s="272" t="s">
        <v>755</v>
      </c>
      <c r="D81" s="272"/>
      <c r="E81" s="247">
        <f>DSUM($B$44:$Y$49,E$44,$B$56:$C81)</f>
        <v>0.21471072514155776</v>
      </c>
      <c r="F81" s="247">
        <f>DSUM($B$44:$Y$49,F$44,$B$56:$C81)</f>
        <v>0.26873087857873806</v>
      </c>
      <c r="G81" s="247">
        <f>DSUM($B$44:$Y$49,G$44,$B$56:$C81)</f>
        <v>0.30705388949092127</v>
      </c>
      <c r="H81" s="247">
        <f>DSUM($B$44:$Y$49,H$44,$B$56:$C81)</f>
        <v>0.3272353771297899</v>
      </c>
      <c r="I81" s="247">
        <f>DSUM($B$44:$Y$49,I$44,$B$56:$C81)</f>
        <v>0.33498791267204181</v>
      </c>
      <c r="J81" s="247">
        <f>DSUM($B$44:$Y$49,J$44,$B$56:$C81)</f>
        <v>0.33483049285618016</v>
      </c>
      <c r="K81" s="247">
        <f>DSUM($B$44:$Y$49,K$44,$B$56:$C81)</f>
        <v>0.33089431940701053</v>
      </c>
      <c r="L81" s="247">
        <f>DSUM($B$44:$Y$49,L$44,$B$56:$C81)</f>
        <v>0.32534462564605182</v>
      </c>
      <c r="M81" s="247">
        <f>DSUM($B$44:$Y$49,M$44,$B$56:$C81)</f>
        <v>0.31944775474343939</v>
      </c>
      <c r="N81" s="247">
        <f>DSUM($B$44:$Y$49,N$44,$B$56:$C81)</f>
        <v>0.31420875705897011</v>
      </c>
      <c r="O81" s="247">
        <f>DSUM($B$44:$Y$49,O$44,$B$56:$C81)</f>
        <v>0.30988581757699835</v>
      </c>
      <c r="P81" s="247">
        <f>DSUM($B$44:$Y$49,P$44,$B$56:$C81)</f>
        <v>0.30661259940319274</v>
      </c>
      <c r="Q81" s="247">
        <f>DSUM($B$44:$Y$49,Q$44,$B$56:$C81)</f>
        <v>0.30378067675758241</v>
      </c>
      <c r="R81" s="247">
        <f>DSUM($B$44:$Y$49,R$44,$B$56:$C81)</f>
        <v>0.30096448872480808</v>
      </c>
      <c r="S81" s="247">
        <f>DSUM($B$44:$Y$49,S$44,$B$56:$C81)</f>
        <v>0.29830402992478289</v>
      </c>
      <c r="T81" s="247">
        <f>DSUM($B$44:$Y$49,T$44,$B$56:$C81)</f>
        <v>0.29589378057466803</v>
      </c>
      <c r="U81" s="247">
        <f>DSUM($B$44:$Y$49,U$44,$B$56:$C81)</f>
        <v>0.29373392023686173</v>
      </c>
      <c r="V81" s="247">
        <f>DSUM($B$44:$Y$49,V$44,$B$56:$C81)</f>
        <v>0.29178880196581902</v>
      </c>
      <c r="W81" s="247">
        <f>DSUM($B$44:$Y$49,W$44,$B$56:$C81)</f>
        <v>0.29003168600709872</v>
      </c>
      <c r="X81" s="247">
        <f>DSUM($B$44:$Y$49,X$44,$B$56:$C81)</f>
        <v>0.28881018674586145</v>
      </c>
      <c r="Y81" s="32">
        <f>DSUM($B$44:$Y$49,Y$44,$B$56:$C81)</f>
        <v>6.057250720642374</v>
      </c>
    </row>
    <row r="82" spans="1:25">
      <c r="A82" s="11" t="s">
        <v>766</v>
      </c>
      <c r="B82" s="272" t="s">
        <v>745</v>
      </c>
      <c r="C82" s="272" t="s">
        <v>756</v>
      </c>
      <c r="D82" s="272"/>
      <c r="E82" s="247">
        <f>DSUM($B$44:$Y$49,E$44,$B$56:$C82)</f>
        <v>0.21471072514155776</v>
      </c>
      <c r="F82" s="247">
        <f>DSUM($B$44:$Y$49,F$44,$B$56:$C82)</f>
        <v>0.26873087857873806</v>
      </c>
      <c r="G82" s="247">
        <f>DSUM($B$44:$Y$49,G$44,$B$56:$C82)</f>
        <v>0.30705388949092127</v>
      </c>
      <c r="H82" s="247">
        <f>DSUM($B$44:$Y$49,H$44,$B$56:$C82)</f>
        <v>0.3272353771297899</v>
      </c>
      <c r="I82" s="247">
        <f>DSUM($B$44:$Y$49,I$44,$B$56:$C82)</f>
        <v>0.33498791267204181</v>
      </c>
      <c r="J82" s="247">
        <f>DSUM($B$44:$Y$49,J$44,$B$56:$C82)</f>
        <v>0.33483049285618016</v>
      </c>
      <c r="K82" s="247">
        <f>DSUM($B$44:$Y$49,K$44,$B$56:$C82)</f>
        <v>0.33089431940701053</v>
      </c>
      <c r="L82" s="247">
        <f>DSUM($B$44:$Y$49,L$44,$B$56:$C82)</f>
        <v>0.32534462564605182</v>
      </c>
      <c r="M82" s="247">
        <f>DSUM($B$44:$Y$49,M$44,$B$56:$C82)</f>
        <v>0.31944775474343939</v>
      </c>
      <c r="N82" s="247">
        <f>DSUM($B$44:$Y$49,N$44,$B$56:$C82)</f>
        <v>0.31420875705897011</v>
      </c>
      <c r="O82" s="247">
        <f>DSUM($B$44:$Y$49,O$44,$B$56:$C82)</f>
        <v>0.30988581757699835</v>
      </c>
      <c r="P82" s="247">
        <f>DSUM($B$44:$Y$49,P$44,$B$56:$C82)</f>
        <v>0.30661259940319274</v>
      </c>
      <c r="Q82" s="247">
        <f>DSUM($B$44:$Y$49,Q$44,$B$56:$C82)</f>
        <v>0.30378067675758241</v>
      </c>
      <c r="R82" s="247">
        <f>DSUM($B$44:$Y$49,R$44,$B$56:$C82)</f>
        <v>0.30096448872480808</v>
      </c>
      <c r="S82" s="247">
        <f>DSUM($B$44:$Y$49,S$44,$B$56:$C82)</f>
        <v>0.29830402992478289</v>
      </c>
      <c r="T82" s="247">
        <f>DSUM($B$44:$Y$49,T$44,$B$56:$C82)</f>
        <v>0.29589378057466803</v>
      </c>
      <c r="U82" s="247">
        <f>DSUM($B$44:$Y$49,U$44,$B$56:$C82)</f>
        <v>0.29373392023686173</v>
      </c>
      <c r="V82" s="247">
        <f>DSUM($B$44:$Y$49,V$44,$B$56:$C82)</f>
        <v>0.29178880196581902</v>
      </c>
      <c r="W82" s="247">
        <f>DSUM($B$44:$Y$49,W$44,$B$56:$C82)</f>
        <v>0.29003168600709872</v>
      </c>
      <c r="X82" s="247">
        <f>DSUM($B$44:$Y$49,X$44,$B$56:$C82)</f>
        <v>0.28881018674586145</v>
      </c>
      <c r="Y82" s="32">
        <f>DSUM($B$44:$Y$49,Y$44,$B$56:$C82)</f>
        <v>6.057250720642374</v>
      </c>
    </row>
    <row r="83" spans="1:25">
      <c r="A83" s="11" t="s">
        <v>767</v>
      </c>
      <c r="B83" s="272" t="s">
        <v>746</v>
      </c>
      <c r="C83" s="272" t="s">
        <v>757</v>
      </c>
      <c r="D83" s="272"/>
      <c r="E83" s="247">
        <f>DSUM($B$44:$Y$49,E$44,$B$56:$C83)</f>
        <v>0.21471072514155776</v>
      </c>
      <c r="F83" s="247">
        <f>DSUM($B$44:$Y$49,F$44,$B$56:$C83)</f>
        <v>0.26873087857873806</v>
      </c>
      <c r="G83" s="247">
        <f>DSUM($B$44:$Y$49,G$44,$B$56:$C83)</f>
        <v>0.30705388949092127</v>
      </c>
      <c r="H83" s="247">
        <f>DSUM($B$44:$Y$49,H$44,$B$56:$C83)</f>
        <v>0.3272353771297899</v>
      </c>
      <c r="I83" s="247">
        <f>DSUM($B$44:$Y$49,I$44,$B$56:$C83)</f>
        <v>0.33498791267204181</v>
      </c>
      <c r="J83" s="247">
        <f>DSUM($B$44:$Y$49,J$44,$B$56:$C83)</f>
        <v>0.33483049285618016</v>
      </c>
      <c r="K83" s="247">
        <f>DSUM($B$44:$Y$49,K$44,$B$56:$C83)</f>
        <v>0.33089431940701053</v>
      </c>
      <c r="L83" s="247">
        <f>DSUM($B$44:$Y$49,L$44,$B$56:$C83)</f>
        <v>0.32534462564605182</v>
      </c>
      <c r="M83" s="247">
        <f>DSUM($B$44:$Y$49,M$44,$B$56:$C83)</f>
        <v>0.31944775474343939</v>
      </c>
      <c r="N83" s="247">
        <f>DSUM($B$44:$Y$49,N$44,$B$56:$C83)</f>
        <v>0.31420875705897011</v>
      </c>
      <c r="O83" s="247">
        <f>DSUM($B$44:$Y$49,O$44,$B$56:$C83)</f>
        <v>0.30988581757699835</v>
      </c>
      <c r="P83" s="247">
        <f>DSUM($B$44:$Y$49,P$44,$B$56:$C83)</f>
        <v>0.30661259940319274</v>
      </c>
      <c r="Q83" s="247">
        <f>DSUM($B$44:$Y$49,Q$44,$B$56:$C83)</f>
        <v>0.30378067675758241</v>
      </c>
      <c r="R83" s="247">
        <f>DSUM($B$44:$Y$49,R$44,$B$56:$C83)</f>
        <v>0.30096448872480808</v>
      </c>
      <c r="S83" s="247">
        <f>DSUM($B$44:$Y$49,S$44,$B$56:$C83)</f>
        <v>0.29830402992478289</v>
      </c>
      <c r="T83" s="247">
        <f>DSUM($B$44:$Y$49,T$44,$B$56:$C83)</f>
        <v>0.29589378057466803</v>
      </c>
      <c r="U83" s="247">
        <f>DSUM($B$44:$Y$49,U$44,$B$56:$C83)</f>
        <v>0.29373392023686173</v>
      </c>
      <c r="V83" s="247">
        <f>DSUM($B$44:$Y$49,V$44,$B$56:$C83)</f>
        <v>0.29178880196581902</v>
      </c>
      <c r="W83" s="247">
        <f>DSUM($B$44:$Y$49,W$44,$B$56:$C83)</f>
        <v>0.29003168600709872</v>
      </c>
      <c r="X83" s="247">
        <f>DSUM($B$44:$Y$49,X$44,$B$56:$C83)</f>
        <v>0.28881018674586145</v>
      </c>
      <c r="Y83" s="32">
        <f>DSUM($B$44:$Y$49,Y$44,$B$56:$C83)</f>
        <v>6.057250720642374</v>
      </c>
    </row>
    <row r="84" spans="1:25">
      <c r="A84" s="11" t="s">
        <v>768</v>
      </c>
      <c r="B84" s="272" t="s">
        <v>747</v>
      </c>
      <c r="C84" s="272" t="s">
        <v>758</v>
      </c>
      <c r="D84" s="272"/>
      <c r="E84" s="247">
        <f>DSUM($B$44:$Y$49,E$44,$B$56:$C84)</f>
        <v>0.21471072514155776</v>
      </c>
      <c r="F84" s="247">
        <f>DSUM($B$44:$Y$49,F$44,$B$56:$C84)</f>
        <v>0.26873087857873806</v>
      </c>
      <c r="G84" s="247">
        <f>DSUM($B$44:$Y$49,G$44,$B$56:$C84)</f>
        <v>0.30705388949092127</v>
      </c>
      <c r="H84" s="247">
        <f>DSUM($B$44:$Y$49,H$44,$B$56:$C84)</f>
        <v>0.3272353771297899</v>
      </c>
      <c r="I84" s="247">
        <f>DSUM($B$44:$Y$49,I$44,$B$56:$C84)</f>
        <v>0.33498791267204181</v>
      </c>
      <c r="J84" s="247">
        <f>DSUM($B$44:$Y$49,J$44,$B$56:$C84)</f>
        <v>0.33483049285618016</v>
      </c>
      <c r="K84" s="247">
        <f>DSUM($B$44:$Y$49,K$44,$B$56:$C84)</f>
        <v>0.33089431940701053</v>
      </c>
      <c r="L84" s="247">
        <f>DSUM($B$44:$Y$49,L$44,$B$56:$C84)</f>
        <v>0.32534462564605182</v>
      </c>
      <c r="M84" s="247">
        <f>DSUM($B$44:$Y$49,M$44,$B$56:$C84)</f>
        <v>0.31944775474343939</v>
      </c>
      <c r="N84" s="247">
        <f>DSUM($B$44:$Y$49,N$44,$B$56:$C84)</f>
        <v>0.31420875705897011</v>
      </c>
      <c r="O84" s="247">
        <f>DSUM($B$44:$Y$49,O$44,$B$56:$C84)</f>
        <v>0.30988581757699835</v>
      </c>
      <c r="P84" s="247">
        <f>DSUM($B$44:$Y$49,P$44,$B$56:$C84)</f>
        <v>0.30661259940319274</v>
      </c>
      <c r="Q84" s="247">
        <f>DSUM($B$44:$Y$49,Q$44,$B$56:$C84)</f>
        <v>0.30378067675758241</v>
      </c>
      <c r="R84" s="247">
        <f>DSUM($B$44:$Y$49,R$44,$B$56:$C84)</f>
        <v>0.30096448872480808</v>
      </c>
      <c r="S84" s="247">
        <f>DSUM($B$44:$Y$49,S$44,$B$56:$C84)</f>
        <v>0.29830402992478289</v>
      </c>
      <c r="T84" s="247">
        <f>DSUM($B$44:$Y$49,T$44,$B$56:$C84)</f>
        <v>0.29589378057466803</v>
      </c>
      <c r="U84" s="247">
        <f>DSUM($B$44:$Y$49,U$44,$B$56:$C84)</f>
        <v>0.29373392023686173</v>
      </c>
      <c r="V84" s="247">
        <f>DSUM($B$44:$Y$49,V$44,$B$56:$C84)</f>
        <v>0.29178880196581902</v>
      </c>
      <c r="W84" s="247">
        <f>DSUM($B$44:$Y$49,W$44,$B$56:$C84)</f>
        <v>0.29003168600709872</v>
      </c>
      <c r="X84" s="247">
        <f>DSUM($B$44:$Y$49,X$44,$B$56:$C84)</f>
        <v>0.28881018674586145</v>
      </c>
      <c r="Y84" s="32">
        <f>DSUM($B$44:$Y$49,Y$44,$B$56:$C84)</f>
        <v>6.057250720642374</v>
      </c>
    </row>
    <row r="85" spans="1:25">
      <c r="A85" s="11" t="s">
        <v>769</v>
      </c>
      <c r="B85" s="272" t="s">
        <v>748</v>
      </c>
      <c r="C85" s="272" t="s">
        <v>759</v>
      </c>
      <c r="D85" s="272"/>
      <c r="E85" s="247">
        <f>DSUM($B$44:$Y$49,E$44,$B$56:$C85)</f>
        <v>0.21471072514155776</v>
      </c>
      <c r="F85" s="247">
        <f>DSUM($B$44:$Y$49,F$44,$B$56:$C85)</f>
        <v>0.26873087857873806</v>
      </c>
      <c r="G85" s="247">
        <f>DSUM($B$44:$Y$49,G$44,$B$56:$C85)</f>
        <v>0.30705388949092127</v>
      </c>
      <c r="H85" s="247">
        <f>DSUM($B$44:$Y$49,H$44,$B$56:$C85)</f>
        <v>0.3272353771297899</v>
      </c>
      <c r="I85" s="247">
        <f>DSUM($B$44:$Y$49,I$44,$B$56:$C85)</f>
        <v>0.33498791267204181</v>
      </c>
      <c r="J85" s="247">
        <f>DSUM($B$44:$Y$49,J$44,$B$56:$C85)</f>
        <v>0.33483049285618016</v>
      </c>
      <c r="K85" s="247">
        <f>DSUM($B$44:$Y$49,K$44,$B$56:$C85)</f>
        <v>0.33089431940701053</v>
      </c>
      <c r="L85" s="247">
        <f>DSUM($B$44:$Y$49,L$44,$B$56:$C85)</f>
        <v>0.32534462564605182</v>
      </c>
      <c r="M85" s="247">
        <f>DSUM($B$44:$Y$49,M$44,$B$56:$C85)</f>
        <v>0.31944775474343939</v>
      </c>
      <c r="N85" s="247">
        <f>DSUM($B$44:$Y$49,N$44,$B$56:$C85)</f>
        <v>0.31420875705897011</v>
      </c>
      <c r="O85" s="247">
        <f>DSUM($B$44:$Y$49,O$44,$B$56:$C85)</f>
        <v>0.30988581757699835</v>
      </c>
      <c r="P85" s="247">
        <f>DSUM($B$44:$Y$49,P$44,$B$56:$C85)</f>
        <v>0.30661259940319274</v>
      </c>
      <c r="Q85" s="247">
        <f>DSUM($B$44:$Y$49,Q$44,$B$56:$C85)</f>
        <v>0.30378067675758241</v>
      </c>
      <c r="R85" s="247">
        <f>DSUM($B$44:$Y$49,R$44,$B$56:$C85)</f>
        <v>0.30096448872480808</v>
      </c>
      <c r="S85" s="247">
        <f>DSUM($B$44:$Y$49,S$44,$B$56:$C85)</f>
        <v>0.29830402992478289</v>
      </c>
      <c r="T85" s="247">
        <f>DSUM($B$44:$Y$49,T$44,$B$56:$C85)</f>
        <v>0.29589378057466803</v>
      </c>
      <c r="U85" s="247">
        <f>DSUM($B$44:$Y$49,U$44,$B$56:$C85)</f>
        <v>0.29373392023686173</v>
      </c>
      <c r="V85" s="247">
        <f>DSUM($B$44:$Y$49,V$44,$B$56:$C85)</f>
        <v>0.29178880196581902</v>
      </c>
      <c r="W85" s="247">
        <f>DSUM($B$44:$Y$49,W$44,$B$56:$C85)</f>
        <v>0.29003168600709872</v>
      </c>
      <c r="X85" s="247">
        <f>DSUM($B$44:$Y$49,X$44,$B$56:$C85)</f>
        <v>0.28881018674586145</v>
      </c>
      <c r="Y85" s="32">
        <f>DSUM($B$44:$Y$49,Y$44,$B$56:$C85)</f>
        <v>6.057250720642374</v>
      </c>
    </row>
    <row r="86" spans="1:25">
      <c r="A86" s="11" t="s">
        <v>770</v>
      </c>
      <c r="B86" s="272" t="s">
        <v>749</v>
      </c>
      <c r="C86" s="272" t="s">
        <v>760</v>
      </c>
      <c r="D86" s="272"/>
      <c r="E86" s="247">
        <f>DSUM($B$44:$Y$49,E$44,$B$56:$C86)</f>
        <v>0.21471072514155776</v>
      </c>
      <c r="F86" s="247">
        <f>DSUM($B$44:$Y$49,F$44,$B$56:$C86)</f>
        <v>0.26873087857873806</v>
      </c>
      <c r="G86" s="247">
        <f>DSUM($B$44:$Y$49,G$44,$B$56:$C86)</f>
        <v>0.30705388949092127</v>
      </c>
      <c r="H86" s="247">
        <f>DSUM($B$44:$Y$49,H$44,$B$56:$C86)</f>
        <v>0.3272353771297899</v>
      </c>
      <c r="I86" s="247">
        <f>DSUM($B$44:$Y$49,I$44,$B$56:$C86)</f>
        <v>0.33498791267204181</v>
      </c>
      <c r="J86" s="247">
        <f>DSUM($B$44:$Y$49,J$44,$B$56:$C86)</f>
        <v>0.33483049285618016</v>
      </c>
      <c r="K86" s="247">
        <f>DSUM($B$44:$Y$49,K$44,$B$56:$C86)</f>
        <v>0.33089431940701053</v>
      </c>
      <c r="L86" s="247">
        <f>DSUM($B$44:$Y$49,L$44,$B$56:$C86)</f>
        <v>0.32534462564605182</v>
      </c>
      <c r="M86" s="247">
        <f>DSUM($B$44:$Y$49,M$44,$B$56:$C86)</f>
        <v>0.31944775474343939</v>
      </c>
      <c r="N86" s="247">
        <f>DSUM($B$44:$Y$49,N$44,$B$56:$C86)</f>
        <v>0.31420875705897011</v>
      </c>
      <c r="O86" s="247">
        <f>DSUM($B$44:$Y$49,O$44,$B$56:$C86)</f>
        <v>0.30988581757699835</v>
      </c>
      <c r="P86" s="247">
        <f>DSUM($B$44:$Y$49,P$44,$B$56:$C86)</f>
        <v>0.30661259940319274</v>
      </c>
      <c r="Q86" s="247">
        <f>DSUM($B$44:$Y$49,Q$44,$B$56:$C86)</f>
        <v>0.30378067675758241</v>
      </c>
      <c r="R86" s="247">
        <f>DSUM($B$44:$Y$49,R$44,$B$56:$C86)</f>
        <v>0.30096448872480808</v>
      </c>
      <c r="S86" s="247">
        <f>DSUM($B$44:$Y$49,S$44,$B$56:$C86)</f>
        <v>0.29830402992478289</v>
      </c>
      <c r="T86" s="247">
        <f>DSUM($B$44:$Y$49,T$44,$B$56:$C86)</f>
        <v>0.29589378057466803</v>
      </c>
      <c r="U86" s="247">
        <f>DSUM($B$44:$Y$49,U$44,$B$56:$C86)</f>
        <v>0.29373392023686173</v>
      </c>
      <c r="V86" s="247">
        <f>DSUM($B$44:$Y$49,V$44,$B$56:$C86)</f>
        <v>0.29178880196581902</v>
      </c>
      <c r="W86" s="247">
        <f>DSUM($B$44:$Y$49,W$44,$B$56:$C86)</f>
        <v>0.29003168600709872</v>
      </c>
      <c r="X86" s="247">
        <f>DSUM($B$44:$Y$49,X$44,$B$56:$C86)</f>
        <v>0.28881018674586145</v>
      </c>
      <c r="Y86" s="32">
        <f>DSUM($B$44:$Y$49,Y$44,$B$56:$C86)</f>
        <v>6.057250720642374</v>
      </c>
    </row>
    <row r="87" spans="1:25">
      <c r="A87" s="11" t="s">
        <v>771</v>
      </c>
      <c r="B87" s="272" t="s">
        <v>750</v>
      </c>
      <c r="C87" s="272" t="s">
        <v>761</v>
      </c>
      <c r="D87" s="272"/>
      <c r="E87" s="247">
        <f>DSUM($B$44:$Y$49,E$44,$B$56:$C87)</f>
        <v>0.21471072514155776</v>
      </c>
      <c r="F87" s="247">
        <f>DSUM($B$44:$Y$49,F$44,$B$56:$C87)</f>
        <v>0.26873087857873806</v>
      </c>
      <c r="G87" s="247">
        <f>DSUM($B$44:$Y$49,G$44,$B$56:$C87)</f>
        <v>0.30705388949092127</v>
      </c>
      <c r="H87" s="247">
        <f>DSUM($B$44:$Y$49,H$44,$B$56:$C87)</f>
        <v>0.3272353771297899</v>
      </c>
      <c r="I87" s="247">
        <f>DSUM($B$44:$Y$49,I$44,$B$56:$C87)</f>
        <v>0.33498791267204181</v>
      </c>
      <c r="J87" s="247">
        <f>DSUM($B$44:$Y$49,J$44,$B$56:$C87)</f>
        <v>0.33483049285618016</v>
      </c>
      <c r="K87" s="247">
        <f>DSUM($B$44:$Y$49,K$44,$B$56:$C87)</f>
        <v>0.33089431940701053</v>
      </c>
      <c r="L87" s="247">
        <f>DSUM($B$44:$Y$49,L$44,$B$56:$C87)</f>
        <v>0.32534462564605182</v>
      </c>
      <c r="M87" s="247">
        <f>DSUM($B$44:$Y$49,M$44,$B$56:$C87)</f>
        <v>0.31944775474343939</v>
      </c>
      <c r="N87" s="247">
        <f>DSUM($B$44:$Y$49,N$44,$B$56:$C87)</f>
        <v>0.31420875705897011</v>
      </c>
      <c r="O87" s="247">
        <f>DSUM($B$44:$Y$49,O$44,$B$56:$C87)</f>
        <v>0.30988581757699835</v>
      </c>
      <c r="P87" s="247">
        <f>DSUM($B$44:$Y$49,P$44,$B$56:$C87)</f>
        <v>0.30661259940319274</v>
      </c>
      <c r="Q87" s="247">
        <f>DSUM($B$44:$Y$49,Q$44,$B$56:$C87)</f>
        <v>0.30378067675758241</v>
      </c>
      <c r="R87" s="247">
        <f>DSUM($B$44:$Y$49,R$44,$B$56:$C87)</f>
        <v>0.30096448872480808</v>
      </c>
      <c r="S87" s="247">
        <f>DSUM($B$44:$Y$49,S$44,$B$56:$C87)</f>
        <v>0.29830402992478289</v>
      </c>
      <c r="T87" s="247">
        <f>DSUM($B$44:$Y$49,T$44,$B$56:$C87)</f>
        <v>0.29589378057466803</v>
      </c>
      <c r="U87" s="247">
        <f>DSUM($B$44:$Y$49,U$44,$B$56:$C87)</f>
        <v>0.29373392023686173</v>
      </c>
      <c r="V87" s="247">
        <f>DSUM($B$44:$Y$49,V$44,$B$56:$C87)</f>
        <v>0.29178880196581902</v>
      </c>
      <c r="W87" s="247">
        <f>DSUM($B$44:$Y$49,W$44,$B$56:$C87)</f>
        <v>0.29003168600709872</v>
      </c>
      <c r="X87" s="247">
        <f>DSUM($B$44:$Y$49,X$44,$B$56:$C87)</f>
        <v>0.28881018674586145</v>
      </c>
      <c r="Y87" s="32">
        <f>DSUM($B$44:$Y$49,Y$44,$B$56:$C87)</f>
        <v>6.057250720642374</v>
      </c>
    </row>
    <row r="88" spans="1:25">
      <c r="A88" s="11" t="s">
        <v>772</v>
      </c>
      <c r="B88" s="272" t="s">
        <v>751</v>
      </c>
      <c r="C88" s="272" t="s">
        <v>773</v>
      </c>
      <c r="D88" s="272"/>
      <c r="E88" s="247">
        <f>DSUM($B$44:$Y$49,E$44,$B$56:$C88)</f>
        <v>0.21471072514155776</v>
      </c>
      <c r="F88" s="247">
        <f>DSUM($B$44:$Y$49,F$44,$B$56:$C88)</f>
        <v>0.26873087857873806</v>
      </c>
      <c r="G88" s="247">
        <f>DSUM($B$44:$Y$49,G$44,$B$56:$C88)</f>
        <v>0.30705388949092127</v>
      </c>
      <c r="H88" s="247">
        <f>DSUM($B$44:$Y$49,H$44,$B$56:$C88)</f>
        <v>0.3272353771297899</v>
      </c>
      <c r="I88" s="247">
        <f>DSUM($B$44:$Y$49,I$44,$B$56:$C88)</f>
        <v>0.33498791267204181</v>
      </c>
      <c r="J88" s="247">
        <f>DSUM($B$44:$Y$49,J$44,$B$56:$C88)</f>
        <v>0.33483049285618016</v>
      </c>
      <c r="K88" s="247">
        <f>DSUM($B$44:$Y$49,K$44,$B$56:$C88)</f>
        <v>0.33089431940701053</v>
      </c>
      <c r="L88" s="247">
        <f>DSUM($B$44:$Y$49,L$44,$B$56:$C88)</f>
        <v>0.32534462564605182</v>
      </c>
      <c r="M88" s="247">
        <f>DSUM($B$44:$Y$49,M$44,$B$56:$C88)</f>
        <v>0.31944775474343939</v>
      </c>
      <c r="N88" s="247">
        <f>DSUM($B$44:$Y$49,N$44,$B$56:$C88)</f>
        <v>0.31420875705897011</v>
      </c>
      <c r="O88" s="247">
        <f>DSUM($B$44:$Y$49,O$44,$B$56:$C88)</f>
        <v>0.30988581757699835</v>
      </c>
      <c r="P88" s="247">
        <f>DSUM($B$44:$Y$49,P$44,$B$56:$C88)</f>
        <v>0.30661259940319274</v>
      </c>
      <c r="Q88" s="247">
        <f>DSUM($B$44:$Y$49,Q$44,$B$56:$C88)</f>
        <v>0.30378067675758241</v>
      </c>
      <c r="R88" s="247">
        <f>DSUM($B$44:$Y$49,R$44,$B$56:$C88)</f>
        <v>0.30096448872480808</v>
      </c>
      <c r="S88" s="247">
        <f>DSUM($B$44:$Y$49,S$44,$B$56:$C88)</f>
        <v>0.29830402992478289</v>
      </c>
      <c r="T88" s="247">
        <f>DSUM($B$44:$Y$49,T$44,$B$56:$C88)</f>
        <v>0.29589378057466803</v>
      </c>
      <c r="U88" s="247">
        <f>DSUM($B$44:$Y$49,U$44,$B$56:$C88)</f>
        <v>0.29373392023686173</v>
      </c>
      <c r="V88" s="247">
        <f>DSUM($B$44:$Y$49,V$44,$B$56:$C88)</f>
        <v>0.29178880196581902</v>
      </c>
      <c r="W88" s="247">
        <f>DSUM($B$44:$Y$49,W$44,$B$56:$C88)</f>
        <v>0.29003168600709872</v>
      </c>
      <c r="X88" s="247">
        <f>DSUM($B$44:$Y$49,X$44,$B$56:$C88)</f>
        <v>0.28881018674586145</v>
      </c>
      <c r="Y88" s="32">
        <f>DSUM($B$44:$Y$49,Y$44,$B$56:$C88)</f>
        <v>6.057250720642374</v>
      </c>
    </row>
    <row r="91" spans="1:25" ht="15">
      <c r="A91" s="334" t="s">
        <v>728</v>
      </c>
      <c r="B91" s="335"/>
    </row>
    <row r="92" spans="1:25" ht="15">
      <c r="C92" s="258" t="s">
        <v>730</v>
      </c>
      <c r="D92" s="258"/>
      <c r="E92" s="407">
        <f>E55</f>
        <v>2016</v>
      </c>
      <c r="F92" s="407">
        <f t="shared" ref="F92:X92" si="29">F55</f>
        <v>2017</v>
      </c>
      <c r="G92" s="407">
        <f t="shared" si="29"/>
        <v>2018</v>
      </c>
      <c r="H92" s="407">
        <f t="shared" si="29"/>
        <v>2019</v>
      </c>
      <c r="I92" s="407">
        <f t="shared" si="29"/>
        <v>2020</v>
      </c>
      <c r="J92" s="407">
        <f t="shared" si="29"/>
        <v>2021</v>
      </c>
      <c r="K92" s="407">
        <f t="shared" si="29"/>
        <v>2022</v>
      </c>
      <c r="L92" s="407">
        <f t="shared" si="29"/>
        <v>2023</v>
      </c>
      <c r="M92" s="407">
        <f t="shared" si="29"/>
        <v>2024</v>
      </c>
      <c r="N92" s="407">
        <f t="shared" si="29"/>
        <v>2025</v>
      </c>
      <c r="O92" s="407">
        <f t="shared" si="29"/>
        <v>2026</v>
      </c>
      <c r="P92" s="407">
        <f t="shared" si="29"/>
        <v>2027</v>
      </c>
      <c r="Q92" s="407">
        <f t="shared" si="29"/>
        <v>2028</v>
      </c>
      <c r="R92" s="407">
        <f t="shared" si="29"/>
        <v>2029</v>
      </c>
      <c r="S92" s="407">
        <f t="shared" si="29"/>
        <v>2030</v>
      </c>
      <c r="T92" s="407">
        <f t="shared" si="29"/>
        <v>2031</v>
      </c>
      <c r="U92" s="407">
        <f t="shared" si="29"/>
        <v>2032</v>
      </c>
      <c r="V92" s="407">
        <f t="shared" si="29"/>
        <v>2033</v>
      </c>
      <c r="W92" s="407">
        <f t="shared" si="29"/>
        <v>2034</v>
      </c>
      <c r="X92" s="407">
        <f t="shared" si="29"/>
        <v>2035</v>
      </c>
      <c r="Y92" s="418" t="s">
        <v>976</v>
      </c>
    </row>
    <row r="93" spans="1:25" ht="15">
      <c r="C93" s="258">
        <f>C9</f>
        <v>2035</v>
      </c>
      <c r="D93" s="258"/>
      <c r="E93" s="408" t="str">
        <f>E56</f>
        <v>aMW_2016</v>
      </c>
      <c r="F93" s="408" t="str">
        <f t="shared" ref="F93:X93" si="30">F56</f>
        <v>aMW_2017</v>
      </c>
      <c r="G93" s="408" t="str">
        <f t="shared" si="30"/>
        <v>aMW_2018</v>
      </c>
      <c r="H93" s="408" t="str">
        <f t="shared" si="30"/>
        <v>aMW_2019</v>
      </c>
      <c r="I93" s="408" t="str">
        <f t="shared" si="30"/>
        <v>aMW_2020</v>
      </c>
      <c r="J93" s="408" t="str">
        <f t="shared" si="30"/>
        <v>aMW_2021</v>
      </c>
      <c r="K93" s="408" t="str">
        <f t="shared" si="30"/>
        <v>aMW_2022</v>
      </c>
      <c r="L93" s="408" t="str">
        <f t="shared" si="30"/>
        <v>aMW_2023</v>
      </c>
      <c r="M93" s="408" t="str">
        <f t="shared" si="30"/>
        <v>aMW_2024</v>
      </c>
      <c r="N93" s="408" t="str">
        <f t="shared" si="30"/>
        <v>aMW_2025</v>
      </c>
      <c r="O93" s="408" t="str">
        <f t="shared" si="30"/>
        <v>aMW_2026</v>
      </c>
      <c r="P93" s="408" t="str">
        <f t="shared" si="30"/>
        <v>aMW_2027</v>
      </c>
      <c r="Q93" s="408" t="str">
        <f t="shared" si="30"/>
        <v>aMW_2028</v>
      </c>
      <c r="R93" s="408" t="str">
        <f t="shared" si="30"/>
        <v>aMW_2029</v>
      </c>
      <c r="S93" s="408" t="str">
        <f t="shared" si="30"/>
        <v>aMW_2030</v>
      </c>
      <c r="T93" s="408" t="str">
        <f t="shared" si="30"/>
        <v>aMW_2031</v>
      </c>
      <c r="U93" s="408" t="str">
        <f t="shared" si="30"/>
        <v>aMW_2032</v>
      </c>
      <c r="V93" s="408" t="str">
        <f t="shared" si="30"/>
        <v>aMW_2033</v>
      </c>
      <c r="W93" s="408" t="str">
        <f t="shared" si="30"/>
        <v>aMW_2034</v>
      </c>
      <c r="X93" s="408" t="str">
        <f t="shared" si="30"/>
        <v>aMW_2035</v>
      </c>
      <c r="Y93" s="419" t="s">
        <v>976</v>
      </c>
    </row>
    <row r="94" spans="1:25">
      <c r="C94" s="11" t="s">
        <v>640</v>
      </c>
      <c r="E94" s="249">
        <f t="shared" ref="E94:Y94" si="31">E57</f>
        <v>0.21471072514155776</v>
      </c>
      <c r="F94" s="249">
        <f t="shared" si="31"/>
        <v>0.26873087857873806</v>
      </c>
      <c r="G94" s="249">
        <f t="shared" si="31"/>
        <v>0.30705388949092127</v>
      </c>
      <c r="H94" s="249">
        <f t="shared" si="31"/>
        <v>0.3272353771297899</v>
      </c>
      <c r="I94" s="249">
        <f t="shared" si="31"/>
        <v>0.33498791267204181</v>
      </c>
      <c r="J94" s="249">
        <f t="shared" si="31"/>
        <v>0.33483049285618016</v>
      </c>
      <c r="K94" s="249">
        <f t="shared" si="31"/>
        <v>0.33089431940701053</v>
      </c>
      <c r="L94" s="249">
        <f t="shared" si="31"/>
        <v>0.32534462564605182</v>
      </c>
      <c r="M94" s="249">
        <f t="shared" si="31"/>
        <v>0.31944775474343939</v>
      </c>
      <c r="N94" s="249">
        <f t="shared" si="31"/>
        <v>0.31420875705897011</v>
      </c>
      <c r="O94" s="249">
        <f t="shared" si="31"/>
        <v>0.30988581757699835</v>
      </c>
      <c r="P94" s="249">
        <f t="shared" si="31"/>
        <v>0.30661259940319274</v>
      </c>
      <c r="Q94" s="249">
        <f t="shared" si="31"/>
        <v>0.30378067675758241</v>
      </c>
      <c r="R94" s="249">
        <f t="shared" si="31"/>
        <v>0.30096448872480808</v>
      </c>
      <c r="S94" s="249">
        <f t="shared" si="31"/>
        <v>0.29830402992478289</v>
      </c>
      <c r="T94" s="249">
        <f t="shared" si="31"/>
        <v>0.29589378057466803</v>
      </c>
      <c r="U94" s="249">
        <f t="shared" si="31"/>
        <v>0.29373392023686173</v>
      </c>
      <c r="V94" s="249">
        <f t="shared" si="31"/>
        <v>0.29178880196581902</v>
      </c>
      <c r="W94" s="249">
        <f t="shared" si="31"/>
        <v>0.29003168600709872</v>
      </c>
      <c r="X94" s="249">
        <f t="shared" si="31"/>
        <v>0.28881018674586145</v>
      </c>
      <c r="Y94" s="264">
        <f t="shared" si="31"/>
        <v>6.057250720642374</v>
      </c>
    </row>
    <row r="95" spans="1:25">
      <c r="C95" s="11" t="s">
        <v>641</v>
      </c>
      <c r="E95" s="249">
        <f t="shared" ref="E95:Y110" si="32">E58-E57</f>
        <v>0</v>
      </c>
      <c r="F95" s="249">
        <f t="shared" si="32"/>
        <v>0</v>
      </c>
      <c r="G95" s="249">
        <f t="shared" si="32"/>
        <v>0</v>
      </c>
      <c r="H95" s="249">
        <f t="shared" si="32"/>
        <v>0</v>
      </c>
      <c r="I95" s="249">
        <f t="shared" si="32"/>
        <v>0</v>
      </c>
      <c r="J95" s="249">
        <f t="shared" si="32"/>
        <v>0</v>
      </c>
      <c r="K95" s="249">
        <f t="shared" si="32"/>
        <v>0</v>
      </c>
      <c r="L95" s="249">
        <f t="shared" si="32"/>
        <v>0</v>
      </c>
      <c r="M95" s="249">
        <f t="shared" si="32"/>
        <v>0</v>
      </c>
      <c r="N95" s="249">
        <f t="shared" si="32"/>
        <v>0</v>
      </c>
      <c r="O95" s="249">
        <f t="shared" si="32"/>
        <v>0</v>
      </c>
      <c r="P95" s="249">
        <f t="shared" si="32"/>
        <v>0</v>
      </c>
      <c r="Q95" s="249">
        <f t="shared" si="32"/>
        <v>0</v>
      </c>
      <c r="R95" s="249">
        <f t="shared" si="32"/>
        <v>0</v>
      </c>
      <c r="S95" s="249">
        <f t="shared" si="32"/>
        <v>0</v>
      </c>
      <c r="T95" s="249">
        <f t="shared" si="32"/>
        <v>0</v>
      </c>
      <c r="U95" s="249">
        <f t="shared" si="32"/>
        <v>0</v>
      </c>
      <c r="V95" s="249">
        <f t="shared" si="32"/>
        <v>0</v>
      </c>
      <c r="W95" s="249">
        <f t="shared" si="32"/>
        <v>0</v>
      </c>
      <c r="X95" s="249">
        <f t="shared" si="32"/>
        <v>0</v>
      </c>
      <c r="Y95" s="264">
        <f t="shared" si="32"/>
        <v>0</v>
      </c>
    </row>
    <row r="96" spans="1:25">
      <c r="C96" s="11" t="s">
        <v>642</v>
      </c>
      <c r="E96" s="249">
        <f t="shared" ref="E96:X96" si="33">E59-E58</f>
        <v>0</v>
      </c>
      <c r="F96" s="249">
        <f t="shared" si="33"/>
        <v>0</v>
      </c>
      <c r="G96" s="249">
        <f t="shared" si="33"/>
        <v>0</v>
      </c>
      <c r="H96" s="249">
        <f t="shared" si="33"/>
        <v>0</v>
      </c>
      <c r="I96" s="249">
        <f t="shared" si="33"/>
        <v>0</v>
      </c>
      <c r="J96" s="249">
        <f t="shared" si="33"/>
        <v>0</v>
      </c>
      <c r="K96" s="249">
        <f t="shared" si="33"/>
        <v>0</v>
      </c>
      <c r="L96" s="249">
        <f t="shared" si="33"/>
        <v>0</v>
      </c>
      <c r="M96" s="249">
        <f t="shared" si="33"/>
        <v>0</v>
      </c>
      <c r="N96" s="249">
        <f t="shared" si="33"/>
        <v>0</v>
      </c>
      <c r="O96" s="249">
        <f t="shared" si="33"/>
        <v>0</v>
      </c>
      <c r="P96" s="249">
        <f t="shared" si="33"/>
        <v>0</v>
      </c>
      <c r="Q96" s="249">
        <f t="shared" si="33"/>
        <v>0</v>
      </c>
      <c r="R96" s="249">
        <f t="shared" si="33"/>
        <v>0</v>
      </c>
      <c r="S96" s="249">
        <f t="shared" si="33"/>
        <v>0</v>
      </c>
      <c r="T96" s="249">
        <f t="shared" si="33"/>
        <v>0</v>
      </c>
      <c r="U96" s="249">
        <f t="shared" si="33"/>
        <v>0</v>
      </c>
      <c r="V96" s="249">
        <f t="shared" si="33"/>
        <v>0</v>
      </c>
      <c r="W96" s="249">
        <f t="shared" si="33"/>
        <v>0</v>
      </c>
      <c r="X96" s="249">
        <f t="shared" si="33"/>
        <v>0</v>
      </c>
      <c r="Y96" s="264">
        <f t="shared" si="32"/>
        <v>0</v>
      </c>
    </row>
    <row r="97" spans="3:25">
      <c r="C97" s="11" t="s">
        <v>643</v>
      </c>
      <c r="E97" s="249">
        <f t="shared" ref="E97:X97" si="34">E60-E59</f>
        <v>0</v>
      </c>
      <c r="F97" s="249">
        <f t="shared" si="34"/>
        <v>0</v>
      </c>
      <c r="G97" s="249">
        <f t="shared" si="34"/>
        <v>0</v>
      </c>
      <c r="H97" s="249">
        <f t="shared" si="34"/>
        <v>0</v>
      </c>
      <c r="I97" s="249">
        <f t="shared" si="34"/>
        <v>0</v>
      </c>
      <c r="J97" s="249">
        <f t="shared" si="34"/>
        <v>0</v>
      </c>
      <c r="K97" s="249">
        <f t="shared" si="34"/>
        <v>0</v>
      </c>
      <c r="L97" s="249">
        <f t="shared" si="34"/>
        <v>0</v>
      </c>
      <c r="M97" s="249">
        <f t="shared" si="34"/>
        <v>0</v>
      </c>
      <c r="N97" s="249">
        <f t="shared" si="34"/>
        <v>0</v>
      </c>
      <c r="O97" s="249">
        <f t="shared" si="34"/>
        <v>0</v>
      </c>
      <c r="P97" s="249">
        <f t="shared" si="34"/>
        <v>0</v>
      </c>
      <c r="Q97" s="249">
        <f t="shared" si="34"/>
        <v>0</v>
      </c>
      <c r="R97" s="249">
        <f t="shared" si="34"/>
        <v>0</v>
      </c>
      <c r="S97" s="249">
        <f t="shared" si="34"/>
        <v>0</v>
      </c>
      <c r="T97" s="249">
        <f t="shared" si="34"/>
        <v>0</v>
      </c>
      <c r="U97" s="249">
        <f t="shared" si="34"/>
        <v>0</v>
      </c>
      <c r="V97" s="249">
        <f t="shared" si="34"/>
        <v>0</v>
      </c>
      <c r="W97" s="249">
        <f t="shared" si="34"/>
        <v>0</v>
      </c>
      <c r="X97" s="249">
        <f t="shared" si="34"/>
        <v>0</v>
      </c>
      <c r="Y97" s="264">
        <f t="shared" si="32"/>
        <v>0</v>
      </c>
    </row>
    <row r="98" spans="3:25">
      <c r="C98" s="11" t="s">
        <v>644</v>
      </c>
      <c r="E98" s="249">
        <f t="shared" ref="E98:X98" si="35">E61-E60</f>
        <v>0</v>
      </c>
      <c r="F98" s="249">
        <f t="shared" si="35"/>
        <v>0</v>
      </c>
      <c r="G98" s="249">
        <f t="shared" si="35"/>
        <v>0</v>
      </c>
      <c r="H98" s="249">
        <f t="shared" si="35"/>
        <v>0</v>
      </c>
      <c r="I98" s="249">
        <f t="shared" si="35"/>
        <v>0</v>
      </c>
      <c r="J98" s="249">
        <f t="shared" si="35"/>
        <v>0</v>
      </c>
      <c r="K98" s="249">
        <f t="shared" si="35"/>
        <v>0</v>
      </c>
      <c r="L98" s="249">
        <f t="shared" si="35"/>
        <v>0</v>
      </c>
      <c r="M98" s="249">
        <f t="shared" si="35"/>
        <v>0</v>
      </c>
      <c r="N98" s="249">
        <f t="shared" si="35"/>
        <v>0</v>
      </c>
      <c r="O98" s="249">
        <f t="shared" si="35"/>
        <v>0</v>
      </c>
      <c r="P98" s="249">
        <f t="shared" si="35"/>
        <v>0</v>
      </c>
      <c r="Q98" s="249">
        <f t="shared" si="35"/>
        <v>0</v>
      </c>
      <c r="R98" s="249">
        <f t="shared" si="35"/>
        <v>0</v>
      </c>
      <c r="S98" s="249">
        <f t="shared" si="35"/>
        <v>0</v>
      </c>
      <c r="T98" s="249">
        <f t="shared" si="35"/>
        <v>0</v>
      </c>
      <c r="U98" s="249">
        <f t="shared" si="35"/>
        <v>0</v>
      </c>
      <c r="V98" s="249">
        <f t="shared" si="35"/>
        <v>0</v>
      </c>
      <c r="W98" s="249">
        <f t="shared" si="35"/>
        <v>0</v>
      </c>
      <c r="X98" s="249">
        <f t="shared" si="35"/>
        <v>0</v>
      </c>
      <c r="Y98" s="264">
        <f t="shared" si="32"/>
        <v>0</v>
      </c>
    </row>
    <row r="99" spans="3:25">
      <c r="C99" s="11" t="s">
        <v>645</v>
      </c>
      <c r="E99" s="249">
        <f t="shared" ref="E99:X99" si="36">E62-E61</f>
        <v>0</v>
      </c>
      <c r="F99" s="249">
        <f t="shared" si="36"/>
        <v>0</v>
      </c>
      <c r="G99" s="249">
        <f t="shared" si="36"/>
        <v>0</v>
      </c>
      <c r="H99" s="249">
        <f t="shared" si="36"/>
        <v>0</v>
      </c>
      <c r="I99" s="249">
        <f t="shared" si="36"/>
        <v>0</v>
      </c>
      <c r="J99" s="249">
        <f t="shared" si="36"/>
        <v>0</v>
      </c>
      <c r="K99" s="249">
        <f t="shared" si="36"/>
        <v>0</v>
      </c>
      <c r="L99" s="249">
        <f t="shared" si="36"/>
        <v>0</v>
      </c>
      <c r="M99" s="249">
        <f t="shared" si="36"/>
        <v>0</v>
      </c>
      <c r="N99" s="249">
        <f t="shared" si="36"/>
        <v>0</v>
      </c>
      <c r="O99" s="249">
        <f t="shared" si="36"/>
        <v>0</v>
      </c>
      <c r="P99" s="249">
        <f t="shared" si="36"/>
        <v>0</v>
      </c>
      <c r="Q99" s="249">
        <f t="shared" si="36"/>
        <v>0</v>
      </c>
      <c r="R99" s="249">
        <f t="shared" si="36"/>
        <v>0</v>
      </c>
      <c r="S99" s="249">
        <f t="shared" si="36"/>
        <v>0</v>
      </c>
      <c r="T99" s="249">
        <f t="shared" si="36"/>
        <v>0</v>
      </c>
      <c r="U99" s="249">
        <f t="shared" si="36"/>
        <v>0</v>
      </c>
      <c r="V99" s="249">
        <f t="shared" si="36"/>
        <v>0</v>
      </c>
      <c r="W99" s="249">
        <f t="shared" si="36"/>
        <v>0</v>
      </c>
      <c r="X99" s="249">
        <f t="shared" si="36"/>
        <v>0</v>
      </c>
      <c r="Y99" s="264">
        <f t="shared" si="32"/>
        <v>0</v>
      </c>
    </row>
    <row r="100" spans="3:25">
      <c r="C100" s="11" t="s">
        <v>646</v>
      </c>
      <c r="E100" s="249">
        <f t="shared" ref="E100:X100" si="37">E63-E62</f>
        <v>0</v>
      </c>
      <c r="F100" s="249">
        <f t="shared" si="37"/>
        <v>0</v>
      </c>
      <c r="G100" s="249">
        <f t="shared" si="37"/>
        <v>0</v>
      </c>
      <c r="H100" s="249">
        <f t="shared" si="37"/>
        <v>0</v>
      </c>
      <c r="I100" s="249">
        <f t="shared" si="37"/>
        <v>0</v>
      </c>
      <c r="J100" s="249">
        <f t="shared" si="37"/>
        <v>0</v>
      </c>
      <c r="K100" s="249">
        <f t="shared" si="37"/>
        <v>0</v>
      </c>
      <c r="L100" s="249">
        <f t="shared" si="37"/>
        <v>0</v>
      </c>
      <c r="M100" s="249">
        <f t="shared" si="37"/>
        <v>0</v>
      </c>
      <c r="N100" s="249">
        <f t="shared" si="37"/>
        <v>0</v>
      </c>
      <c r="O100" s="249">
        <f t="shared" si="37"/>
        <v>0</v>
      </c>
      <c r="P100" s="249">
        <f t="shared" si="37"/>
        <v>0</v>
      </c>
      <c r="Q100" s="249">
        <f t="shared" si="37"/>
        <v>0</v>
      </c>
      <c r="R100" s="249">
        <f t="shared" si="37"/>
        <v>0</v>
      </c>
      <c r="S100" s="249">
        <f t="shared" si="37"/>
        <v>0</v>
      </c>
      <c r="T100" s="249">
        <f t="shared" si="37"/>
        <v>0</v>
      </c>
      <c r="U100" s="249">
        <f t="shared" si="37"/>
        <v>0</v>
      </c>
      <c r="V100" s="249">
        <f t="shared" si="37"/>
        <v>0</v>
      </c>
      <c r="W100" s="249">
        <f t="shared" si="37"/>
        <v>0</v>
      </c>
      <c r="X100" s="249">
        <f t="shared" si="37"/>
        <v>0</v>
      </c>
      <c r="Y100" s="264">
        <f t="shared" si="32"/>
        <v>0</v>
      </c>
    </row>
    <row r="101" spans="3:25">
      <c r="C101" s="11" t="s">
        <v>647</v>
      </c>
      <c r="E101" s="249">
        <f t="shared" ref="E101:X101" si="38">E64-E63</f>
        <v>0</v>
      </c>
      <c r="F101" s="249">
        <f t="shared" si="38"/>
        <v>0</v>
      </c>
      <c r="G101" s="249">
        <f t="shared" si="38"/>
        <v>0</v>
      </c>
      <c r="H101" s="249">
        <f t="shared" si="38"/>
        <v>0</v>
      </c>
      <c r="I101" s="249">
        <f t="shared" si="38"/>
        <v>0</v>
      </c>
      <c r="J101" s="249">
        <f t="shared" si="38"/>
        <v>0</v>
      </c>
      <c r="K101" s="249">
        <f t="shared" si="38"/>
        <v>0</v>
      </c>
      <c r="L101" s="249">
        <f t="shared" si="38"/>
        <v>0</v>
      </c>
      <c r="M101" s="249">
        <f t="shared" si="38"/>
        <v>0</v>
      </c>
      <c r="N101" s="249">
        <f t="shared" si="38"/>
        <v>0</v>
      </c>
      <c r="O101" s="249">
        <f t="shared" si="38"/>
        <v>0</v>
      </c>
      <c r="P101" s="249">
        <f t="shared" si="38"/>
        <v>0</v>
      </c>
      <c r="Q101" s="249">
        <f t="shared" si="38"/>
        <v>0</v>
      </c>
      <c r="R101" s="249">
        <f t="shared" si="38"/>
        <v>0</v>
      </c>
      <c r="S101" s="249">
        <f t="shared" si="38"/>
        <v>0</v>
      </c>
      <c r="T101" s="249">
        <f t="shared" si="38"/>
        <v>0</v>
      </c>
      <c r="U101" s="249">
        <f t="shared" si="38"/>
        <v>0</v>
      </c>
      <c r="V101" s="249">
        <f t="shared" si="38"/>
        <v>0</v>
      </c>
      <c r="W101" s="249">
        <f t="shared" si="38"/>
        <v>0</v>
      </c>
      <c r="X101" s="249">
        <f t="shared" si="38"/>
        <v>0</v>
      </c>
      <c r="Y101" s="264">
        <f t="shared" si="32"/>
        <v>0</v>
      </c>
    </row>
    <row r="102" spans="3:25">
      <c r="C102" s="11" t="s">
        <v>648</v>
      </c>
      <c r="E102" s="249">
        <f t="shared" ref="E102:X102" si="39">E65-E64</f>
        <v>0</v>
      </c>
      <c r="F102" s="249">
        <f t="shared" si="39"/>
        <v>0</v>
      </c>
      <c r="G102" s="249">
        <f t="shared" si="39"/>
        <v>0</v>
      </c>
      <c r="H102" s="249">
        <f t="shared" si="39"/>
        <v>0</v>
      </c>
      <c r="I102" s="249">
        <f t="shared" si="39"/>
        <v>0</v>
      </c>
      <c r="J102" s="249">
        <f t="shared" si="39"/>
        <v>0</v>
      </c>
      <c r="K102" s="249">
        <f t="shared" si="39"/>
        <v>0</v>
      </c>
      <c r="L102" s="249">
        <f t="shared" si="39"/>
        <v>0</v>
      </c>
      <c r="M102" s="249">
        <f t="shared" si="39"/>
        <v>0</v>
      </c>
      <c r="N102" s="249">
        <f t="shared" si="39"/>
        <v>0</v>
      </c>
      <c r="O102" s="249">
        <f t="shared" si="39"/>
        <v>0</v>
      </c>
      <c r="P102" s="249">
        <f t="shared" si="39"/>
        <v>0</v>
      </c>
      <c r="Q102" s="249">
        <f t="shared" si="39"/>
        <v>0</v>
      </c>
      <c r="R102" s="249">
        <f t="shared" si="39"/>
        <v>0</v>
      </c>
      <c r="S102" s="249">
        <f t="shared" si="39"/>
        <v>0</v>
      </c>
      <c r="T102" s="249">
        <f t="shared" si="39"/>
        <v>0</v>
      </c>
      <c r="U102" s="249">
        <f t="shared" si="39"/>
        <v>0</v>
      </c>
      <c r="V102" s="249">
        <f t="shared" si="39"/>
        <v>0</v>
      </c>
      <c r="W102" s="249">
        <f t="shared" si="39"/>
        <v>0</v>
      </c>
      <c r="X102" s="249">
        <f t="shared" si="39"/>
        <v>0</v>
      </c>
      <c r="Y102" s="264">
        <f t="shared" si="32"/>
        <v>0</v>
      </c>
    </row>
    <row r="103" spans="3:25">
      <c r="C103" s="11" t="s">
        <v>649</v>
      </c>
      <c r="E103" s="249">
        <f t="shared" ref="E103:X103" si="40">E66-E65</f>
        <v>0</v>
      </c>
      <c r="F103" s="249">
        <f t="shared" si="40"/>
        <v>0</v>
      </c>
      <c r="G103" s="249">
        <f t="shared" si="40"/>
        <v>0</v>
      </c>
      <c r="H103" s="249">
        <f t="shared" si="40"/>
        <v>0</v>
      </c>
      <c r="I103" s="249">
        <f t="shared" si="40"/>
        <v>0</v>
      </c>
      <c r="J103" s="249">
        <f t="shared" si="40"/>
        <v>0</v>
      </c>
      <c r="K103" s="249">
        <f t="shared" si="40"/>
        <v>0</v>
      </c>
      <c r="L103" s="249">
        <f t="shared" si="40"/>
        <v>0</v>
      </c>
      <c r="M103" s="249">
        <f t="shared" si="40"/>
        <v>0</v>
      </c>
      <c r="N103" s="249">
        <f t="shared" si="40"/>
        <v>0</v>
      </c>
      <c r="O103" s="249">
        <f t="shared" si="40"/>
        <v>0</v>
      </c>
      <c r="P103" s="249">
        <f t="shared" si="40"/>
        <v>0</v>
      </c>
      <c r="Q103" s="249">
        <f t="shared" si="40"/>
        <v>0</v>
      </c>
      <c r="R103" s="249">
        <f t="shared" si="40"/>
        <v>0</v>
      </c>
      <c r="S103" s="249">
        <f t="shared" si="40"/>
        <v>0</v>
      </c>
      <c r="T103" s="249">
        <f t="shared" si="40"/>
        <v>0</v>
      </c>
      <c r="U103" s="249">
        <f t="shared" si="40"/>
        <v>0</v>
      </c>
      <c r="V103" s="249">
        <f t="shared" si="40"/>
        <v>0</v>
      </c>
      <c r="W103" s="249">
        <f t="shared" si="40"/>
        <v>0</v>
      </c>
      <c r="X103" s="249">
        <f t="shared" si="40"/>
        <v>0</v>
      </c>
      <c r="Y103" s="264">
        <f t="shared" si="32"/>
        <v>0</v>
      </c>
    </row>
    <row r="104" spans="3:25">
      <c r="C104" s="11" t="s">
        <v>650</v>
      </c>
      <c r="E104" s="249">
        <f t="shared" ref="E104:X104" si="41">E67-E66</f>
        <v>0</v>
      </c>
      <c r="F104" s="249">
        <f t="shared" si="41"/>
        <v>0</v>
      </c>
      <c r="G104" s="249">
        <f t="shared" si="41"/>
        <v>0</v>
      </c>
      <c r="H104" s="249">
        <f t="shared" si="41"/>
        <v>0</v>
      </c>
      <c r="I104" s="249">
        <f t="shared" si="41"/>
        <v>0</v>
      </c>
      <c r="J104" s="249">
        <f t="shared" si="41"/>
        <v>0</v>
      </c>
      <c r="K104" s="249">
        <f t="shared" si="41"/>
        <v>0</v>
      </c>
      <c r="L104" s="249">
        <f t="shared" si="41"/>
        <v>0</v>
      </c>
      <c r="M104" s="249">
        <f t="shared" si="41"/>
        <v>0</v>
      </c>
      <c r="N104" s="249">
        <f t="shared" si="41"/>
        <v>0</v>
      </c>
      <c r="O104" s="249">
        <f t="shared" si="41"/>
        <v>0</v>
      </c>
      <c r="P104" s="249">
        <f t="shared" si="41"/>
        <v>0</v>
      </c>
      <c r="Q104" s="249">
        <f t="shared" si="41"/>
        <v>0</v>
      </c>
      <c r="R104" s="249">
        <f t="shared" si="41"/>
        <v>0</v>
      </c>
      <c r="S104" s="249">
        <f t="shared" si="41"/>
        <v>0</v>
      </c>
      <c r="T104" s="249">
        <f t="shared" si="41"/>
        <v>0</v>
      </c>
      <c r="U104" s="249">
        <f t="shared" si="41"/>
        <v>0</v>
      </c>
      <c r="V104" s="249">
        <f t="shared" si="41"/>
        <v>0</v>
      </c>
      <c r="W104" s="249">
        <f t="shared" si="41"/>
        <v>0</v>
      </c>
      <c r="X104" s="249">
        <f t="shared" si="41"/>
        <v>0</v>
      </c>
      <c r="Y104" s="264">
        <f t="shared" si="32"/>
        <v>0</v>
      </c>
    </row>
    <row r="105" spans="3:25">
      <c r="C105" s="11" t="s">
        <v>651</v>
      </c>
      <c r="E105" s="249">
        <f t="shared" ref="E105:X105" si="42">E68-E67</f>
        <v>0</v>
      </c>
      <c r="F105" s="249">
        <f t="shared" si="42"/>
        <v>0</v>
      </c>
      <c r="G105" s="249">
        <f t="shared" si="42"/>
        <v>0</v>
      </c>
      <c r="H105" s="249">
        <f t="shared" si="42"/>
        <v>0</v>
      </c>
      <c r="I105" s="249">
        <f t="shared" si="42"/>
        <v>0</v>
      </c>
      <c r="J105" s="249">
        <f t="shared" si="42"/>
        <v>0</v>
      </c>
      <c r="K105" s="249">
        <f t="shared" si="42"/>
        <v>0</v>
      </c>
      <c r="L105" s="249">
        <f t="shared" si="42"/>
        <v>0</v>
      </c>
      <c r="M105" s="249">
        <f t="shared" si="42"/>
        <v>0</v>
      </c>
      <c r="N105" s="249">
        <f t="shared" si="42"/>
        <v>0</v>
      </c>
      <c r="O105" s="249">
        <f t="shared" si="42"/>
        <v>0</v>
      </c>
      <c r="P105" s="249">
        <f t="shared" si="42"/>
        <v>0</v>
      </c>
      <c r="Q105" s="249">
        <f t="shared" si="42"/>
        <v>0</v>
      </c>
      <c r="R105" s="249">
        <f t="shared" si="42"/>
        <v>0</v>
      </c>
      <c r="S105" s="249">
        <f t="shared" si="42"/>
        <v>0</v>
      </c>
      <c r="T105" s="249">
        <f t="shared" si="42"/>
        <v>0</v>
      </c>
      <c r="U105" s="249">
        <f t="shared" si="42"/>
        <v>0</v>
      </c>
      <c r="V105" s="249">
        <f t="shared" si="42"/>
        <v>0</v>
      </c>
      <c r="W105" s="249">
        <f t="shared" si="42"/>
        <v>0</v>
      </c>
      <c r="X105" s="249">
        <f t="shared" si="42"/>
        <v>0</v>
      </c>
      <c r="Y105" s="264">
        <f t="shared" si="32"/>
        <v>0</v>
      </c>
    </row>
    <row r="106" spans="3:25">
      <c r="C106" s="11" t="s">
        <v>652</v>
      </c>
      <c r="E106" s="249">
        <f t="shared" ref="E106:X106" si="43">E69-E68</f>
        <v>0</v>
      </c>
      <c r="F106" s="249">
        <f t="shared" si="43"/>
        <v>0</v>
      </c>
      <c r="G106" s="249">
        <f t="shared" si="43"/>
        <v>0</v>
      </c>
      <c r="H106" s="249">
        <f t="shared" si="43"/>
        <v>0</v>
      </c>
      <c r="I106" s="249">
        <f t="shared" si="43"/>
        <v>0</v>
      </c>
      <c r="J106" s="249">
        <f t="shared" si="43"/>
        <v>0</v>
      </c>
      <c r="K106" s="249">
        <f t="shared" si="43"/>
        <v>0</v>
      </c>
      <c r="L106" s="249">
        <f t="shared" si="43"/>
        <v>0</v>
      </c>
      <c r="M106" s="249">
        <f t="shared" si="43"/>
        <v>0</v>
      </c>
      <c r="N106" s="249">
        <f t="shared" si="43"/>
        <v>0</v>
      </c>
      <c r="O106" s="249">
        <f t="shared" si="43"/>
        <v>0</v>
      </c>
      <c r="P106" s="249">
        <f t="shared" si="43"/>
        <v>0</v>
      </c>
      <c r="Q106" s="249">
        <f t="shared" si="43"/>
        <v>0</v>
      </c>
      <c r="R106" s="249">
        <f t="shared" si="43"/>
        <v>0</v>
      </c>
      <c r="S106" s="249">
        <f t="shared" si="43"/>
        <v>0</v>
      </c>
      <c r="T106" s="249">
        <f t="shared" si="43"/>
        <v>0</v>
      </c>
      <c r="U106" s="249">
        <f t="shared" si="43"/>
        <v>0</v>
      </c>
      <c r="V106" s="249">
        <f t="shared" si="43"/>
        <v>0</v>
      </c>
      <c r="W106" s="249">
        <f t="shared" si="43"/>
        <v>0</v>
      </c>
      <c r="X106" s="249">
        <f t="shared" si="43"/>
        <v>0</v>
      </c>
      <c r="Y106" s="264">
        <f t="shared" si="32"/>
        <v>0</v>
      </c>
    </row>
    <row r="107" spans="3:25">
      <c r="C107" s="11" t="s">
        <v>653</v>
      </c>
      <c r="E107" s="249">
        <f t="shared" ref="E107:X107" si="44">E70-E69</f>
        <v>0</v>
      </c>
      <c r="F107" s="249">
        <f t="shared" si="44"/>
        <v>0</v>
      </c>
      <c r="G107" s="249">
        <f t="shared" si="44"/>
        <v>0</v>
      </c>
      <c r="H107" s="249">
        <f t="shared" si="44"/>
        <v>0</v>
      </c>
      <c r="I107" s="249">
        <f t="shared" si="44"/>
        <v>0</v>
      </c>
      <c r="J107" s="249">
        <f t="shared" si="44"/>
        <v>0</v>
      </c>
      <c r="K107" s="249">
        <f t="shared" si="44"/>
        <v>0</v>
      </c>
      <c r="L107" s="249">
        <f t="shared" si="44"/>
        <v>0</v>
      </c>
      <c r="M107" s="249">
        <f t="shared" si="44"/>
        <v>0</v>
      </c>
      <c r="N107" s="249">
        <f t="shared" si="44"/>
        <v>0</v>
      </c>
      <c r="O107" s="249">
        <f t="shared" si="44"/>
        <v>0</v>
      </c>
      <c r="P107" s="249">
        <f t="shared" si="44"/>
        <v>0</v>
      </c>
      <c r="Q107" s="249">
        <f t="shared" si="44"/>
        <v>0</v>
      </c>
      <c r="R107" s="249">
        <f t="shared" si="44"/>
        <v>0</v>
      </c>
      <c r="S107" s="249">
        <f t="shared" si="44"/>
        <v>0</v>
      </c>
      <c r="T107" s="249">
        <f t="shared" si="44"/>
        <v>0</v>
      </c>
      <c r="U107" s="249">
        <f t="shared" si="44"/>
        <v>0</v>
      </c>
      <c r="V107" s="249">
        <f t="shared" si="44"/>
        <v>0</v>
      </c>
      <c r="W107" s="249">
        <f t="shared" si="44"/>
        <v>0</v>
      </c>
      <c r="X107" s="249">
        <f t="shared" si="44"/>
        <v>0</v>
      </c>
      <c r="Y107" s="264">
        <f t="shared" si="32"/>
        <v>0</v>
      </c>
    </row>
    <row r="108" spans="3:25">
      <c r="C108" s="11" t="s">
        <v>654</v>
      </c>
      <c r="E108" s="249">
        <f t="shared" ref="E108:X108" si="45">E71-E70</f>
        <v>0</v>
      </c>
      <c r="F108" s="249">
        <f t="shared" si="45"/>
        <v>0</v>
      </c>
      <c r="G108" s="249">
        <f t="shared" si="45"/>
        <v>0</v>
      </c>
      <c r="H108" s="249">
        <f t="shared" si="45"/>
        <v>0</v>
      </c>
      <c r="I108" s="249">
        <f t="shared" si="45"/>
        <v>0</v>
      </c>
      <c r="J108" s="249">
        <f t="shared" si="45"/>
        <v>0</v>
      </c>
      <c r="K108" s="249">
        <f t="shared" si="45"/>
        <v>0</v>
      </c>
      <c r="L108" s="249">
        <f t="shared" si="45"/>
        <v>0</v>
      </c>
      <c r="M108" s="249">
        <f t="shared" si="45"/>
        <v>0</v>
      </c>
      <c r="N108" s="249">
        <f t="shared" si="45"/>
        <v>0</v>
      </c>
      <c r="O108" s="249">
        <f t="shared" si="45"/>
        <v>0</v>
      </c>
      <c r="P108" s="249">
        <f t="shared" si="45"/>
        <v>0</v>
      </c>
      <c r="Q108" s="249">
        <f t="shared" si="45"/>
        <v>0</v>
      </c>
      <c r="R108" s="249">
        <f t="shared" si="45"/>
        <v>0</v>
      </c>
      <c r="S108" s="249">
        <f t="shared" si="45"/>
        <v>0</v>
      </c>
      <c r="T108" s="249">
        <f t="shared" si="45"/>
        <v>0</v>
      </c>
      <c r="U108" s="249">
        <f t="shared" si="45"/>
        <v>0</v>
      </c>
      <c r="V108" s="249">
        <f t="shared" si="45"/>
        <v>0</v>
      </c>
      <c r="W108" s="249">
        <f t="shared" si="45"/>
        <v>0</v>
      </c>
      <c r="X108" s="249">
        <f t="shared" si="45"/>
        <v>0</v>
      </c>
      <c r="Y108" s="264">
        <f t="shared" si="32"/>
        <v>0</v>
      </c>
    </row>
    <row r="109" spans="3:25">
      <c r="C109" s="11" t="s">
        <v>655</v>
      </c>
      <c r="E109" s="249">
        <f t="shared" ref="E109:X109" si="46">E72-E71</f>
        <v>0</v>
      </c>
      <c r="F109" s="249">
        <f t="shared" si="46"/>
        <v>0</v>
      </c>
      <c r="G109" s="249">
        <f t="shared" si="46"/>
        <v>0</v>
      </c>
      <c r="H109" s="249">
        <f t="shared" si="46"/>
        <v>0</v>
      </c>
      <c r="I109" s="249">
        <f t="shared" si="46"/>
        <v>0</v>
      </c>
      <c r="J109" s="249">
        <f t="shared" si="46"/>
        <v>0</v>
      </c>
      <c r="K109" s="249">
        <f t="shared" si="46"/>
        <v>0</v>
      </c>
      <c r="L109" s="249">
        <f t="shared" si="46"/>
        <v>0</v>
      </c>
      <c r="M109" s="249">
        <f t="shared" si="46"/>
        <v>0</v>
      </c>
      <c r="N109" s="249">
        <f t="shared" si="46"/>
        <v>0</v>
      </c>
      <c r="O109" s="249">
        <f t="shared" si="46"/>
        <v>0</v>
      </c>
      <c r="P109" s="249">
        <f t="shared" si="46"/>
        <v>0</v>
      </c>
      <c r="Q109" s="249">
        <f t="shared" si="46"/>
        <v>0</v>
      </c>
      <c r="R109" s="249">
        <f t="shared" si="46"/>
        <v>0</v>
      </c>
      <c r="S109" s="249">
        <f t="shared" si="46"/>
        <v>0</v>
      </c>
      <c r="T109" s="249">
        <f t="shared" si="46"/>
        <v>0</v>
      </c>
      <c r="U109" s="249">
        <f t="shared" si="46"/>
        <v>0</v>
      </c>
      <c r="V109" s="249">
        <f t="shared" si="46"/>
        <v>0</v>
      </c>
      <c r="W109" s="249">
        <f t="shared" si="46"/>
        <v>0</v>
      </c>
      <c r="X109" s="249">
        <f t="shared" si="46"/>
        <v>0</v>
      </c>
      <c r="Y109" s="264">
        <f t="shared" si="32"/>
        <v>0</v>
      </c>
    </row>
    <row r="110" spans="3:25">
      <c r="C110" s="11" t="s">
        <v>656</v>
      </c>
      <c r="E110" s="249">
        <f t="shared" ref="E110:X110" si="47">E73-E72</f>
        <v>0</v>
      </c>
      <c r="F110" s="249">
        <f t="shared" si="47"/>
        <v>0</v>
      </c>
      <c r="G110" s="249">
        <f t="shared" si="47"/>
        <v>0</v>
      </c>
      <c r="H110" s="249">
        <f t="shared" si="47"/>
        <v>0</v>
      </c>
      <c r="I110" s="249">
        <f t="shared" si="47"/>
        <v>0</v>
      </c>
      <c r="J110" s="249">
        <f t="shared" si="47"/>
        <v>0</v>
      </c>
      <c r="K110" s="249">
        <f t="shared" si="47"/>
        <v>0</v>
      </c>
      <c r="L110" s="249">
        <f t="shared" si="47"/>
        <v>0</v>
      </c>
      <c r="M110" s="249">
        <f t="shared" si="47"/>
        <v>0</v>
      </c>
      <c r="N110" s="249">
        <f t="shared" si="47"/>
        <v>0</v>
      </c>
      <c r="O110" s="249">
        <f t="shared" si="47"/>
        <v>0</v>
      </c>
      <c r="P110" s="249">
        <f t="shared" si="47"/>
        <v>0</v>
      </c>
      <c r="Q110" s="249">
        <f t="shared" si="47"/>
        <v>0</v>
      </c>
      <c r="R110" s="249">
        <f t="shared" si="47"/>
        <v>0</v>
      </c>
      <c r="S110" s="249">
        <f t="shared" si="47"/>
        <v>0</v>
      </c>
      <c r="T110" s="249">
        <f t="shared" si="47"/>
        <v>0</v>
      </c>
      <c r="U110" s="249">
        <f t="shared" si="47"/>
        <v>0</v>
      </c>
      <c r="V110" s="249">
        <f t="shared" si="47"/>
        <v>0</v>
      </c>
      <c r="W110" s="249">
        <f t="shared" si="47"/>
        <v>0</v>
      </c>
      <c r="X110" s="249">
        <f t="shared" si="47"/>
        <v>0</v>
      </c>
      <c r="Y110" s="264">
        <f t="shared" si="32"/>
        <v>0</v>
      </c>
    </row>
    <row r="111" spans="3:25">
      <c r="C111" s="11" t="s">
        <v>657</v>
      </c>
      <c r="E111" s="249">
        <f t="shared" ref="E111:Y125" si="48">E74-E73</f>
        <v>0</v>
      </c>
      <c r="F111" s="249">
        <f t="shared" si="48"/>
        <v>0</v>
      </c>
      <c r="G111" s="249">
        <f t="shared" si="48"/>
        <v>0</v>
      </c>
      <c r="H111" s="249">
        <f t="shared" si="48"/>
        <v>0</v>
      </c>
      <c r="I111" s="249">
        <f t="shared" si="48"/>
        <v>0</v>
      </c>
      <c r="J111" s="249">
        <f t="shared" si="48"/>
        <v>0</v>
      </c>
      <c r="K111" s="249">
        <f t="shared" si="48"/>
        <v>0</v>
      </c>
      <c r="L111" s="249">
        <f t="shared" si="48"/>
        <v>0</v>
      </c>
      <c r="M111" s="249">
        <f t="shared" si="48"/>
        <v>0</v>
      </c>
      <c r="N111" s="249">
        <f t="shared" si="48"/>
        <v>0</v>
      </c>
      <c r="O111" s="249">
        <f t="shared" si="48"/>
        <v>0</v>
      </c>
      <c r="P111" s="249">
        <f t="shared" si="48"/>
        <v>0</v>
      </c>
      <c r="Q111" s="249">
        <f t="shared" si="48"/>
        <v>0</v>
      </c>
      <c r="R111" s="249">
        <f t="shared" si="48"/>
        <v>0</v>
      </c>
      <c r="S111" s="249">
        <f t="shared" si="48"/>
        <v>0</v>
      </c>
      <c r="T111" s="249">
        <f t="shared" si="48"/>
        <v>0</v>
      </c>
      <c r="U111" s="249">
        <f t="shared" si="48"/>
        <v>0</v>
      </c>
      <c r="V111" s="249">
        <f t="shared" si="48"/>
        <v>0</v>
      </c>
      <c r="W111" s="249">
        <f t="shared" si="48"/>
        <v>0</v>
      </c>
      <c r="X111" s="249">
        <f t="shared" si="48"/>
        <v>0</v>
      </c>
      <c r="Y111" s="264">
        <f t="shared" si="48"/>
        <v>0</v>
      </c>
    </row>
    <row r="112" spans="3:25">
      <c r="C112" s="11" t="s">
        <v>658</v>
      </c>
      <c r="E112" s="249">
        <f t="shared" ref="E112:X112" si="49">E75-E74</f>
        <v>0</v>
      </c>
      <c r="F112" s="249">
        <f t="shared" si="49"/>
        <v>0</v>
      </c>
      <c r="G112" s="249">
        <f t="shared" si="49"/>
        <v>0</v>
      </c>
      <c r="H112" s="249">
        <f t="shared" si="49"/>
        <v>0</v>
      </c>
      <c r="I112" s="249">
        <f t="shared" si="49"/>
        <v>0</v>
      </c>
      <c r="J112" s="249">
        <f t="shared" si="49"/>
        <v>0</v>
      </c>
      <c r="K112" s="249">
        <f t="shared" si="49"/>
        <v>0</v>
      </c>
      <c r="L112" s="249">
        <f t="shared" si="49"/>
        <v>0</v>
      </c>
      <c r="M112" s="249">
        <f t="shared" si="49"/>
        <v>0</v>
      </c>
      <c r="N112" s="249">
        <f t="shared" si="49"/>
        <v>0</v>
      </c>
      <c r="O112" s="249">
        <f t="shared" si="49"/>
        <v>0</v>
      </c>
      <c r="P112" s="249">
        <f t="shared" si="49"/>
        <v>0</v>
      </c>
      <c r="Q112" s="249">
        <f t="shared" si="49"/>
        <v>0</v>
      </c>
      <c r="R112" s="249">
        <f t="shared" si="49"/>
        <v>0</v>
      </c>
      <c r="S112" s="249">
        <f t="shared" si="49"/>
        <v>0</v>
      </c>
      <c r="T112" s="249">
        <f t="shared" si="49"/>
        <v>0</v>
      </c>
      <c r="U112" s="249">
        <f t="shared" si="49"/>
        <v>0</v>
      </c>
      <c r="V112" s="249">
        <f t="shared" si="49"/>
        <v>0</v>
      </c>
      <c r="W112" s="249">
        <f t="shared" si="49"/>
        <v>0</v>
      </c>
      <c r="X112" s="249">
        <f t="shared" si="49"/>
        <v>0</v>
      </c>
      <c r="Y112" s="264">
        <f t="shared" si="48"/>
        <v>0</v>
      </c>
    </row>
    <row r="113" spans="3:25">
      <c r="C113" s="11" t="s">
        <v>659</v>
      </c>
      <c r="E113" s="249">
        <f t="shared" ref="E113:X113" si="50">E76-E75</f>
        <v>0</v>
      </c>
      <c r="F113" s="249">
        <f t="shared" si="50"/>
        <v>0</v>
      </c>
      <c r="G113" s="249">
        <f t="shared" si="50"/>
        <v>0</v>
      </c>
      <c r="H113" s="249">
        <f t="shared" si="50"/>
        <v>0</v>
      </c>
      <c r="I113" s="249">
        <f t="shared" si="50"/>
        <v>0</v>
      </c>
      <c r="J113" s="249">
        <f t="shared" si="50"/>
        <v>0</v>
      </c>
      <c r="K113" s="249">
        <f t="shared" si="50"/>
        <v>0</v>
      </c>
      <c r="L113" s="249">
        <f t="shared" si="50"/>
        <v>0</v>
      </c>
      <c r="M113" s="249">
        <f t="shared" si="50"/>
        <v>0</v>
      </c>
      <c r="N113" s="249">
        <f t="shared" si="50"/>
        <v>0</v>
      </c>
      <c r="O113" s="249">
        <f t="shared" si="50"/>
        <v>0</v>
      </c>
      <c r="P113" s="249">
        <f t="shared" si="50"/>
        <v>0</v>
      </c>
      <c r="Q113" s="249">
        <f t="shared" si="50"/>
        <v>0</v>
      </c>
      <c r="R113" s="249">
        <f t="shared" si="50"/>
        <v>0</v>
      </c>
      <c r="S113" s="249">
        <f t="shared" si="50"/>
        <v>0</v>
      </c>
      <c r="T113" s="249">
        <f t="shared" si="50"/>
        <v>0</v>
      </c>
      <c r="U113" s="249">
        <f t="shared" si="50"/>
        <v>0</v>
      </c>
      <c r="V113" s="249">
        <f t="shared" si="50"/>
        <v>0</v>
      </c>
      <c r="W113" s="249">
        <f t="shared" si="50"/>
        <v>0</v>
      </c>
      <c r="X113" s="249">
        <f t="shared" si="50"/>
        <v>0</v>
      </c>
      <c r="Y113" s="264">
        <f t="shared" si="48"/>
        <v>0</v>
      </c>
    </row>
    <row r="114" spans="3:25">
      <c r="C114" s="11" t="s">
        <v>660</v>
      </c>
      <c r="E114" s="249">
        <f t="shared" ref="E114:X114" si="51">E77-E76</f>
        <v>0</v>
      </c>
      <c r="F114" s="249">
        <f t="shared" si="51"/>
        <v>0</v>
      </c>
      <c r="G114" s="249">
        <f t="shared" si="51"/>
        <v>0</v>
      </c>
      <c r="H114" s="249">
        <f t="shared" si="51"/>
        <v>0</v>
      </c>
      <c r="I114" s="249">
        <f t="shared" si="51"/>
        <v>0</v>
      </c>
      <c r="J114" s="249">
        <f t="shared" si="51"/>
        <v>0</v>
      </c>
      <c r="K114" s="249">
        <f t="shared" si="51"/>
        <v>0</v>
      </c>
      <c r="L114" s="249">
        <f t="shared" si="51"/>
        <v>0</v>
      </c>
      <c r="M114" s="249">
        <f t="shared" si="51"/>
        <v>0</v>
      </c>
      <c r="N114" s="249">
        <f t="shared" si="51"/>
        <v>0</v>
      </c>
      <c r="O114" s="249">
        <f t="shared" si="51"/>
        <v>0</v>
      </c>
      <c r="P114" s="249">
        <f t="shared" si="51"/>
        <v>0</v>
      </c>
      <c r="Q114" s="249">
        <f t="shared" si="51"/>
        <v>0</v>
      </c>
      <c r="R114" s="249">
        <f t="shared" si="51"/>
        <v>0</v>
      </c>
      <c r="S114" s="249">
        <f t="shared" si="51"/>
        <v>0</v>
      </c>
      <c r="T114" s="249">
        <f t="shared" si="51"/>
        <v>0</v>
      </c>
      <c r="U114" s="249">
        <f t="shared" si="51"/>
        <v>0</v>
      </c>
      <c r="V114" s="249">
        <f t="shared" si="51"/>
        <v>0</v>
      </c>
      <c r="W114" s="249">
        <f t="shared" si="51"/>
        <v>0</v>
      </c>
      <c r="X114" s="249">
        <f t="shared" si="51"/>
        <v>0</v>
      </c>
      <c r="Y114" s="264">
        <f t="shared" si="48"/>
        <v>0</v>
      </c>
    </row>
    <row r="115" spans="3:25">
      <c r="C115" s="11" t="s">
        <v>762</v>
      </c>
      <c r="E115" s="249">
        <f t="shared" ref="E115:X115" si="52">E78-E77</f>
        <v>0</v>
      </c>
      <c r="F115" s="249">
        <f t="shared" si="52"/>
        <v>0</v>
      </c>
      <c r="G115" s="249">
        <f t="shared" si="52"/>
        <v>0</v>
      </c>
      <c r="H115" s="249">
        <f t="shared" si="52"/>
        <v>0</v>
      </c>
      <c r="I115" s="249">
        <f t="shared" si="52"/>
        <v>0</v>
      </c>
      <c r="J115" s="249">
        <f t="shared" si="52"/>
        <v>0</v>
      </c>
      <c r="K115" s="249">
        <f t="shared" si="52"/>
        <v>0</v>
      </c>
      <c r="L115" s="249">
        <f t="shared" si="52"/>
        <v>0</v>
      </c>
      <c r="M115" s="249">
        <f t="shared" si="52"/>
        <v>0</v>
      </c>
      <c r="N115" s="249">
        <f t="shared" si="52"/>
        <v>0</v>
      </c>
      <c r="O115" s="249">
        <f t="shared" si="52"/>
        <v>0</v>
      </c>
      <c r="P115" s="249">
        <f t="shared" si="52"/>
        <v>0</v>
      </c>
      <c r="Q115" s="249">
        <f t="shared" si="52"/>
        <v>0</v>
      </c>
      <c r="R115" s="249">
        <f t="shared" si="52"/>
        <v>0</v>
      </c>
      <c r="S115" s="249">
        <f t="shared" si="52"/>
        <v>0</v>
      </c>
      <c r="T115" s="249">
        <f t="shared" si="52"/>
        <v>0</v>
      </c>
      <c r="U115" s="249">
        <f t="shared" si="52"/>
        <v>0</v>
      </c>
      <c r="V115" s="249">
        <f t="shared" si="52"/>
        <v>0</v>
      </c>
      <c r="W115" s="249">
        <f t="shared" si="52"/>
        <v>0</v>
      </c>
      <c r="X115" s="249">
        <f t="shared" si="52"/>
        <v>0</v>
      </c>
      <c r="Y115" s="264">
        <f t="shared" si="48"/>
        <v>0</v>
      </c>
    </row>
    <row r="116" spans="3:25">
      <c r="C116" s="11" t="s">
        <v>763</v>
      </c>
      <c r="E116" s="249">
        <f t="shared" ref="E116:X116" si="53">E79-E78</f>
        <v>0</v>
      </c>
      <c r="F116" s="249">
        <f t="shared" si="53"/>
        <v>0</v>
      </c>
      <c r="G116" s="249">
        <f t="shared" si="53"/>
        <v>0</v>
      </c>
      <c r="H116" s="249">
        <f t="shared" si="53"/>
        <v>0</v>
      </c>
      <c r="I116" s="249">
        <f t="shared" si="53"/>
        <v>0</v>
      </c>
      <c r="J116" s="249">
        <f t="shared" si="53"/>
        <v>0</v>
      </c>
      <c r="K116" s="249">
        <f t="shared" si="53"/>
        <v>0</v>
      </c>
      <c r="L116" s="249">
        <f t="shared" si="53"/>
        <v>0</v>
      </c>
      <c r="M116" s="249">
        <f t="shared" si="53"/>
        <v>0</v>
      </c>
      <c r="N116" s="249">
        <f t="shared" si="53"/>
        <v>0</v>
      </c>
      <c r="O116" s="249">
        <f t="shared" si="53"/>
        <v>0</v>
      </c>
      <c r="P116" s="249">
        <f t="shared" si="53"/>
        <v>0</v>
      </c>
      <c r="Q116" s="249">
        <f t="shared" si="53"/>
        <v>0</v>
      </c>
      <c r="R116" s="249">
        <f t="shared" si="53"/>
        <v>0</v>
      </c>
      <c r="S116" s="249">
        <f t="shared" si="53"/>
        <v>0</v>
      </c>
      <c r="T116" s="249">
        <f t="shared" si="53"/>
        <v>0</v>
      </c>
      <c r="U116" s="249">
        <f t="shared" si="53"/>
        <v>0</v>
      </c>
      <c r="V116" s="249">
        <f t="shared" si="53"/>
        <v>0</v>
      </c>
      <c r="W116" s="249">
        <f t="shared" si="53"/>
        <v>0</v>
      </c>
      <c r="X116" s="249">
        <f t="shared" si="53"/>
        <v>0</v>
      </c>
      <c r="Y116" s="264">
        <f t="shared" si="48"/>
        <v>0</v>
      </c>
    </row>
    <row r="117" spans="3:25">
      <c r="C117" s="11" t="s">
        <v>764</v>
      </c>
      <c r="E117" s="249">
        <f t="shared" ref="E117:X117" si="54">E80-E79</f>
        <v>0</v>
      </c>
      <c r="F117" s="249">
        <f t="shared" si="54"/>
        <v>0</v>
      </c>
      <c r="G117" s="249">
        <f t="shared" si="54"/>
        <v>0</v>
      </c>
      <c r="H117" s="249">
        <f t="shared" si="54"/>
        <v>0</v>
      </c>
      <c r="I117" s="249">
        <f t="shared" si="54"/>
        <v>0</v>
      </c>
      <c r="J117" s="249">
        <f t="shared" si="54"/>
        <v>0</v>
      </c>
      <c r="K117" s="249">
        <f t="shared" si="54"/>
        <v>0</v>
      </c>
      <c r="L117" s="249">
        <f t="shared" si="54"/>
        <v>0</v>
      </c>
      <c r="M117" s="249">
        <f t="shared" si="54"/>
        <v>0</v>
      </c>
      <c r="N117" s="249">
        <f t="shared" si="54"/>
        <v>0</v>
      </c>
      <c r="O117" s="249">
        <f t="shared" si="54"/>
        <v>0</v>
      </c>
      <c r="P117" s="249">
        <f t="shared" si="54"/>
        <v>0</v>
      </c>
      <c r="Q117" s="249">
        <f t="shared" si="54"/>
        <v>0</v>
      </c>
      <c r="R117" s="249">
        <f t="shared" si="54"/>
        <v>0</v>
      </c>
      <c r="S117" s="249">
        <f t="shared" si="54"/>
        <v>0</v>
      </c>
      <c r="T117" s="249">
        <f t="shared" si="54"/>
        <v>0</v>
      </c>
      <c r="U117" s="249">
        <f t="shared" si="54"/>
        <v>0</v>
      </c>
      <c r="V117" s="249">
        <f t="shared" si="54"/>
        <v>0</v>
      </c>
      <c r="W117" s="249">
        <f t="shared" si="54"/>
        <v>0</v>
      </c>
      <c r="X117" s="249">
        <f t="shared" si="54"/>
        <v>0</v>
      </c>
      <c r="Y117" s="264">
        <f t="shared" si="48"/>
        <v>0</v>
      </c>
    </row>
    <row r="118" spans="3:25">
      <c r="C118" s="11" t="s">
        <v>765</v>
      </c>
      <c r="E118" s="249">
        <f t="shared" ref="E118:X118" si="55">E81-E80</f>
        <v>0</v>
      </c>
      <c r="F118" s="249">
        <f t="shared" si="55"/>
        <v>0</v>
      </c>
      <c r="G118" s="249">
        <f t="shared" si="55"/>
        <v>0</v>
      </c>
      <c r="H118" s="249">
        <f t="shared" si="55"/>
        <v>0</v>
      </c>
      <c r="I118" s="249">
        <f t="shared" si="55"/>
        <v>0</v>
      </c>
      <c r="J118" s="249">
        <f t="shared" si="55"/>
        <v>0</v>
      </c>
      <c r="K118" s="249">
        <f t="shared" si="55"/>
        <v>0</v>
      </c>
      <c r="L118" s="249">
        <f t="shared" si="55"/>
        <v>0</v>
      </c>
      <c r="M118" s="249">
        <f t="shared" si="55"/>
        <v>0</v>
      </c>
      <c r="N118" s="249">
        <f t="shared" si="55"/>
        <v>0</v>
      </c>
      <c r="O118" s="249">
        <f t="shared" si="55"/>
        <v>0</v>
      </c>
      <c r="P118" s="249">
        <f t="shared" si="55"/>
        <v>0</v>
      </c>
      <c r="Q118" s="249">
        <f t="shared" si="55"/>
        <v>0</v>
      </c>
      <c r="R118" s="249">
        <f t="shared" si="55"/>
        <v>0</v>
      </c>
      <c r="S118" s="249">
        <f t="shared" si="55"/>
        <v>0</v>
      </c>
      <c r="T118" s="249">
        <f t="shared" si="55"/>
        <v>0</v>
      </c>
      <c r="U118" s="249">
        <f t="shared" si="55"/>
        <v>0</v>
      </c>
      <c r="V118" s="249">
        <f t="shared" si="55"/>
        <v>0</v>
      </c>
      <c r="W118" s="249">
        <f t="shared" si="55"/>
        <v>0</v>
      </c>
      <c r="X118" s="249">
        <f t="shared" si="55"/>
        <v>0</v>
      </c>
      <c r="Y118" s="264">
        <f t="shared" si="48"/>
        <v>0</v>
      </c>
    </row>
    <row r="119" spans="3:25">
      <c r="C119" s="11" t="s">
        <v>766</v>
      </c>
      <c r="E119" s="249">
        <f t="shared" ref="E119:X119" si="56">E82-E81</f>
        <v>0</v>
      </c>
      <c r="F119" s="249">
        <f t="shared" si="56"/>
        <v>0</v>
      </c>
      <c r="G119" s="249">
        <f t="shared" si="56"/>
        <v>0</v>
      </c>
      <c r="H119" s="249">
        <f t="shared" si="56"/>
        <v>0</v>
      </c>
      <c r="I119" s="249">
        <f t="shared" si="56"/>
        <v>0</v>
      </c>
      <c r="J119" s="249">
        <f t="shared" si="56"/>
        <v>0</v>
      </c>
      <c r="K119" s="249">
        <f t="shared" si="56"/>
        <v>0</v>
      </c>
      <c r="L119" s="249">
        <f t="shared" si="56"/>
        <v>0</v>
      </c>
      <c r="M119" s="249">
        <f t="shared" si="56"/>
        <v>0</v>
      </c>
      <c r="N119" s="249">
        <f t="shared" si="56"/>
        <v>0</v>
      </c>
      <c r="O119" s="249">
        <f t="shared" si="56"/>
        <v>0</v>
      </c>
      <c r="P119" s="249">
        <f t="shared" si="56"/>
        <v>0</v>
      </c>
      <c r="Q119" s="249">
        <f t="shared" si="56"/>
        <v>0</v>
      </c>
      <c r="R119" s="249">
        <f t="shared" si="56"/>
        <v>0</v>
      </c>
      <c r="S119" s="249">
        <f t="shared" si="56"/>
        <v>0</v>
      </c>
      <c r="T119" s="249">
        <f t="shared" si="56"/>
        <v>0</v>
      </c>
      <c r="U119" s="249">
        <f t="shared" si="56"/>
        <v>0</v>
      </c>
      <c r="V119" s="249">
        <f t="shared" si="56"/>
        <v>0</v>
      </c>
      <c r="W119" s="249">
        <f t="shared" si="56"/>
        <v>0</v>
      </c>
      <c r="X119" s="249">
        <f t="shared" si="56"/>
        <v>0</v>
      </c>
      <c r="Y119" s="264">
        <f t="shared" si="48"/>
        <v>0</v>
      </c>
    </row>
    <row r="120" spans="3:25">
      <c r="C120" s="11" t="s">
        <v>767</v>
      </c>
      <c r="E120" s="249">
        <f t="shared" ref="E120:X120" si="57">E83-E82</f>
        <v>0</v>
      </c>
      <c r="F120" s="249">
        <f t="shared" si="57"/>
        <v>0</v>
      </c>
      <c r="G120" s="249">
        <f t="shared" si="57"/>
        <v>0</v>
      </c>
      <c r="H120" s="249">
        <f t="shared" si="57"/>
        <v>0</v>
      </c>
      <c r="I120" s="249">
        <f t="shared" si="57"/>
        <v>0</v>
      </c>
      <c r="J120" s="249">
        <f t="shared" si="57"/>
        <v>0</v>
      </c>
      <c r="K120" s="249">
        <f t="shared" si="57"/>
        <v>0</v>
      </c>
      <c r="L120" s="249">
        <f t="shared" si="57"/>
        <v>0</v>
      </c>
      <c r="M120" s="249">
        <f t="shared" si="57"/>
        <v>0</v>
      </c>
      <c r="N120" s="249">
        <f t="shared" si="57"/>
        <v>0</v>
      </c>
      <c r="O120" s="249">
        <f t="shared" si="57"/>
        <v>0</v>
      </c>
      <c r="P120" s="249">
        <f t="shared" si="57"/>
        <v>0</v>
      </c>
      <c r="Q120" s="249">
        <f t="shared" si="57"/>
        <v>0</v>
      </c>
      <c r="R120" s="249">
        <f t="shared" si="57"/>
        <v>0</v>
      </c>
      <c r="S120" s="249">
        <f t="shared" si="57"/>
        <v>0</v>
      </c>
      <c r="T120" s="249">
        <f t="shared" si="57"/>
        <v>0</v>
      </c>
      <c r="U120" s="249">
        <f t="shared" si="57"/>
        <v>0</v>
      </c>
      <c r="V120" s="249">
        <f t="shared" si="57"/>
        <v>0</v>
      </c>
      <c r="W120" s="249">
        <f t="shared" si="57"/>
        <v>0</v>
      </c>
      <c r="X120" s="249">
        <f t="shared" si="57"/>
        <v>0</v>
      </c>
      <c r="Y120" s="264">
        <f t="shared" si="48"/>
        <v>0</v>
      </c>
    </row>
    <row r="121" spans="3:25">
      <c r="C121" s="11" t="s">
        <v>768</v>
      </c>
      <c r="E121" s="249">
        <f t="shared" ref="E121:X121" si="58">E84-E83</f>
        <v>0</v>
      </c>
      <c r="F121" s="249">
        <f t="shared" si="58"/>
        <v>0</v>
      </c>
      <c r="G121" s="249">
        <f t="shared" si="58"/>
        <v>0</v>
      </c>
      <c r="H121" s="249">
        <f t="shared" si="58"/>
        <v>0</v>
      </c>
      <c r="I121" s="249">
        <f t="shared" si="58"/>
        <v>0</v>
      </c>
      <c r="J121" s="249">
        <f t="shared" si="58"/>
        <v>0</v>
      </c>
      <c r="K121" s="249">
        <f t="shared" si="58"/>
        <v>0</v>
      </c>
      <c r="L121" s="249">
        <f t="shared" si="58"/>
        <v>0</v>
      </c>
      <c r="M121" s="249">
        <f t="shared" si="58"/>
        <v>0</v>
      </c>
      <c r="N121" s="249">
        <f t="shared" si="58"/>
        <v>0</v>
      </c>
      <c r="O121" s="249">
        <f t="shared" si="58"/>
        <v>0</v>
      </c>
      <c r="P121" s="249">
        <f t="shared" si="58"/>
        <v>0</v>
      </c>
      <c r="Q121" s="249">
        <f t="shared" si="58"/>
        <v>0</v>
      </c>
      <c r="R121" s="249">
        <f t="shared" si="58"/>
        <v>0</v>
      </c>
      <c r="S121" s="249">
        <f t="shared" si="58"/>
        <v>0</v>
      </c>
      <c r="T121" s="249">
        <f t="shared" si="58"/>
        <v>0</v>
      </c>
      <c r="U121" s="249">
        <f t="shared" si="58"/>
        <v>0</v>
      </c>
      <c r="V121" s="249">
        <f t="shared" si="58"/>
        <v>0</v>
      </c>
      <c r="W121" s="249">
        <f t="shared" si="58"/>
        <v>0</v>
      </c>
      <c r="X121" s="249">
        <f t="shared" si="58"/>
        <v>0</v>
      </c>
      <c r="Y121" s="264">
        <f t="shared" si="48"/>
        <v>0</v>
      </c>
    </row>
    <row r="122" spans="3:25">
      <c r="C122" s="11" t="s">
        <v>769</v>
      </c>
      <c r="E122" s="249">
        <f t="shared" ref="E122:X122" si="59">E85-E84</f>
        <v>0</v>
      </c>
      <c r="F122" s="249">
        <f t="shared" si="59"/>
        <v>0</v>
      </c>
      <c r="G122" s="249">
        <f t="shared" si="59"/>
        <v>0</v>
      </c>
      <c r="H122" s="249">
        <f t="shared" si="59"/>
        <v>0</v>
      </c>
      <c r="I122" s="249">
        <f t="shared" si="59"/>
        <v>0</v>
      </c>
      <c r="J122" s="249">
        <f t="shared" si="59"/>
        <v>0</v>
      </c>
      <c r="K122" s="249">
        <f t="shared" si="59"/>
        <v>0</v>
      </c>
      <c r="L122" s="249">
        <f t="shared" si="59"/>
        <v>0</v>
      </c>
      <c r="M122" s="249">
        <f t="shared" si="59"/>
        <v>0</v>
      </c>
      <c r="N122" s="249">
        <f t="shared" si="59"/>
        <v>0</v>
      </c>
      <c r="O122" s="249">
        <f t="shared" si="59"/>
        <v>0</v>
      </c>
      <c r="P122" s="249">
        <f t="shared" si="59"/>
        <v>0</v>
      </c>
      <c r="Q122" s="249">
        <f t="shared" si="59"/>
        <v>0</v>
      </c>
      <c r="R122" s="249">
        <f t="shared" si="59"/>
        <v>0</v>
      </c>
      <c r="S122" s="249">
        <f t="shared" si="59"/>
        <v>0</v>
      </c>
      <c r="T122" s="249">
        <f t="shared" si="59"/>
        <v>0</v>
      </c>
      <c r="U122" s="249">
        <f t="shared" si="59"/>
        <v>0</v>
      </c>
      <c r="V122" s="249">
        <f t="shared" si="59"/>
        <v>0</v>
      </c>
      <c r="W122" s="249">
        <f t="shared" si="59"/>
        <v>0</v>
      </c>
      <c r="X122" s="249">
        <f t="shared" si="59"/>
        <v>0</v>
      </c>
      <c r="Y122" s="264">
        <f t="shared" si="48"/>
        <v>0</v>
      </c>
    </row>
    <row r="123" spans="3:25">
      <c r="C123" s="11" t="s">
        <v>770</v>
      </c>
      <c r="E123" s="249">
        <f t="shared" ref="E123:X123" si="60">E86-E85</f>
        <v>0</v>
      </c>
      <c r="F123" s="249">
        <f t="shared" si="60"/>
        <v>0</v>
      </c>
      <c r="G123" s="249">
        <f t="shared" si="60"/>
        <v>0</v>
      </c>
      <c r="H123" s="249">
        <f t="shared" si="60"/>
        <v>0</v>
      </c>
      <c r="I123" s="249">
        <f t="shared" si="60"/>
        <v>0</v>
      </c>
      <c r="J123" s="249">
        <f t="shared" si="60"/>
        <v>0</v>
      </c>
      <c r="K123" s="249">
        <f t="shared" si="60"/>
        <v>0</v>
      </c>
      <c r="L123" s="249">
        <f t="shared" si="60"/>
        <v>0</v>
      </c>
      <c r="M123" s="249">
        <f t="shared" si="60"/>
        <v>0</v>
      </c>
      <c r="N123" s="249">
        <f t="shared" si="60"/>
        <v>0</v>
      </c>
      <c r="O123" s="249">
        <f t="shared" si="60"/>
        <v>0</v>
      </c>
      <c r="P123" s="249">
        <f t="shared" si="60"/>
        <v>0</v>
      </c>
      <c r="Q123" s="249">
        <f t="shared" si="60"/>
        <v>0</v>
      </c>
      <c r="R123" s="249">
        <f t="shared" si="60"/>
        <v>0</v>
      </c>
      <c r="S123" s="249">
        <f t="shared" si="60"/>
        <v>0</v>
      </c>
      <c r="T123" s="249">
        <f t="shared" si="60"/>
        <v>0</v>
      </c>
      <c r="U123" s="249">
        <f t="shared" si="60"/>
        <v>0</v>
      </c>
      <c r="V123" s="249">
        <f t="shared" si="60"/>
        <v>0</v>
      </c>
      <c r="W123" s="249">
        <f t="shared" si="60"/>
        <v>0</v>
      </c>
      <c r="X123" s="249">
        <f t="shared" si="60"/>
        <v>0</v>
      </c>
      <c r="Y123" s="264">
        <f t="shared" si="48"/>
        <v>0</v>
      </c>
    </row>
    <row r="124" spans="3:25">
      <c r="C124" s="11" t="s">
        <v>771</v>
      </c>
      <c r="E124" s="249">
        <f t="shared" ref="E124:X124" si="61">E87-E86</f>
        <v>0</v>
      </c>
      <c r="F124" s="249">
        <f t="shared" si="61"/>
        <v>0</v>
      </c>
      <c r="G124" s="249">
        <f t="shared" si="61"/>
        <v>0</v>
      </c>
      <c r="H124" s="249">
        <f t="shared" si="61"/>
        <v>0</v>
      </c>
      <c r="I124" s="249">
        <f t="shared" si="61"/>
        <v>0</v>
      </c>
      <c r="J124" s="249">
        <f t="shared" si="61"/>
        <v>0</v>
      </c>
      <c r="K124" s="249">
        <f t="shared" si="61"/>
        <v>0</v>
      </c>
      <c r="L124" s="249">
        <f t="shared" si="61"/>
        <v>0</v>
      </c>
      <c r="M124" s="249">
        <f t="shared" si="61"/>
        <v>0</v>
      </c>
      <c r="N124" s="249">
        <f t="shared" si="61"/>
        <v>0</v>
      </c>
      <c r="O124" s="249">
        <f t="shared" si="61"/>
        <v>0</v>
      </c>
      <c r="P124" s="249">
        <f t="shared" si="61"/>
        <v>0</v>
      </c>
      <c r="Q124" s="249">
        <f t="shared" si="61"/>
        <v>0</v>
      </c>
      <c r="R124" s="249">
        <f t="shared" si="61"/>
        <v>0</v>
      </c>
      <c r="S124" s="249">
        <f t="shared" si="61"/>
        <v>0</v>
      </c>
      <c r="T124" s="249">
        <f t="shared" si="61"/>
        <v>0</v>
      </c>
      <c r="U124" s="249">
        <f t="shared" si="61"/>
        <v>0</v>
      </c>
      <c r="V124" s="249">
        <f t="shared" si="61"/>
        <v>0</v>
      </c>
      <c r="W124" s="249">
        <f t="shared" si="61"/>
        <v>0</v>
      </c>
      <c r="X124" s="249">
        <f t="shared" si="61"/>
        <v>0</v>
      </c>
      <c r="Y124" s="264">
        <f t="shared" si="48"/>
        <v>0</v>
      </c>
    </row>
    <row r="125" spans="3:25">
      <c r="C125" s="11" t="s">
        <v>772</v>
      </c>
      <c r="E125" s="249">
        <f t="shared" ref="E125:X125" si="62">E88-E87</f>
        <v>0</v>
      </c>
      <c r="F125" s="249">
        <f t="shared" si="62"/>
        <v>0</v>
      </c>
      <c r="G125" s="249">
        <f t="shared" si="62"/>
        <v>0</v>
      </c>
      <c r="H125" s="249">
        <f t="shared" si="62"/>
        <v>0</v>
      </c>
      <c r="I125" s="249">
        <f t="shared" si="62"/>
        <v>0</v>
      </c>
      <c r="J125" s="249">
        <f t="shared" si="62"/>
        <v>0</v>
      </c>
      <c r="K125" s="249">
        <f t="shared" si="62"/>
        <v>0</v>
      </c>
      <c r="L125" s="249">
        <f t="shared" si="62"/>
        <v>0</v>
      </c>
      <c r="M125" s="249">
        <f t="shared" si="62"/>
        <v>0</v>
      </c>
      <c r="N125" s="249">
        <f t="shared" si="62"/>
        <v>0</v>
      </c>
      <c r="O125" s="249">
        <f t="shared" si="62"/>
        <v>0</v>
      </c>
      <c r="P125" s="249">
        <f t="shared" si="62"/>
        <v>0</v>
      </c>
      <c r="Q125" s="249">
        <f t="shared" si="62"/>
        <v>0</v>
      </c>
      <c r="R125" s="249">
        <f t="shared" si="62"/>
        <v>0</v>
      </c>
      <c r="S125" s="249">
        <f t="shared" si="62"/>
        <v>0</v>
      </c>
      <c r="T125" s="249">
        <f t="shared" si="62"/>
        <v>0</v>
      </c>
      <c r="U125" s="249">
        <f t="shared" si="62"/>
        <v>0</v>
      </c>
      <c r="V125" s="249">
        <f t="shared" si="62"/>
        <v>0</v>
      </c>
      <c r="W125" s="249">
        <f t="shared" si="62"/>
        <v>0</v>
      </c>
      <c r="X125" s="249">
        <f t="shared" si="62"/>
        <v>0</v>
      </c>
      <c r="Y125" s="264">
        <f t="shared" si="48"/>
        <v>0</v>
      </c>
    </row>
    <row r="126" spans="3:25">
      <c r="E126" s="170"/>
    </row>
    <row r="127" spans="3:25" ht="15">
      <c r="C127" s="416" t="s">
        <v>974</v>
      </c>
      <c r="D127" s="417">
        <f t="shared" ref="D127:X127" si="63">SUM(D94:D125)</f>
        <v>0</v>
      </c>
      <c r="E127" s="417">
        <f t="shared" si="63"/>
        <v>0.21471072514155776</v>
      </c>
      <c r="F127" s="417">
        <f t="shared" si="63"/>
        <v>0.26873087857873806</v>
      </c>
      <c r="G127" s="417">
        <f t="shared" si="63"/>
        <v>0.30705388949092127</v>
      </c>
      <c r="H127" s="417">
        <f t="shared" si="63"/>
        <v>0.3272353771297899</v>
      </c>
      <c r="I127" s="417">
        <f t="shared" si="63"/>
        <v>0.33498791267204181</v>
      </c>
      <c r="J127" s="417">
        <f t="shared" si="63"/>
        <v>0.33483049285618016</v>
      </c>
      <c r="K127" s="417">
        <f t="shared" si="63"/>
        <v>0.33089431940701053</v>
      </c>
      <c r="L127" s="417">
        <f t="shared" si="63"/>
        <v>0.32534462564605182</v>
      </c>
      <c r="M127" s="417">
        <f t="shared" si="63"/>
        <v>0.31944775474343939</v>
      </c>
      <c r="N127" s="417">
        <f t="shared" si="63"/>
        <v>0.31420875705897011</v>
      </c>
      <c r="O127" s="417">
        <f t="shared" si="63"/>
        <v>0.30988581757699835</v>
      </c>
      <c r="P127" s="417">
        <f t="shared" si="63"/>
        <v>0.30661259940319274</v>
      </c>
      <c r="Q127" s="417">
        <f t="shared" si="63"/>
        <v>0.30378067675758241</v>
      </c>
      <c r="R127" s="417">
        <f t="shared" si="63"/>
        <v>0.30096448872480808</v>
      </c>
      <c r="S127" s="417">
        <f t="shared" si="63"/>
        <v>0.29830402992478289</v>
      </c>
      <c r="T127" s="417">
        <f t="shared" si="63"/>
        <v>0.29589378057466803</v>
      </c>
      <c r="U127" s="417">
        <f t="shared" si="63"/>
        <v>0.29373392023686173</v>
      </c>
      <c r="V127" s="417">
        <f t="shared" si="63"/>
        <v>0.29178880196581902</v>
      </c>
      <c r="W127" s="417">
        <f t="shared" si="63"/>
        <v>0.29003168600709872</v>
      </c>
      <c r="X127" s="417">
        <f t="shared" si="63"/>
        <v>0.28881018674586145</v>
      </c>
      <c r="Y127" s="417"/>
    </row>
    <row r="128" spans="3:25" ht="15">
      <c r="C128" s="416" t="s">
        <v>975</v>
      </c>
      <c r="D128" s="417">
        <f>D127</f>
        <v>0</v>
      </c>
      <c r="E128" s="417">
        <f t="shared" ref="E128:X128" si="64">D128+E127</f>
        <v>0.21471072514155776</v>
      </c>
      <c r="F128" s="417">
        <f t="shared" si="64"/>
        <v>0.48344160372029582</v>
      </c>
      <c r="G128" s="417">
        <f t="shared" si="64"/>
        <v>0.79049549321121715</v>
      </c>
      <c r="H128" s="417">
        <f t="shared" si="64"/>
        <v>1.1177308703410072</v>
      </c>
      <c r="I128" s="417">
        <f t="shared" si="64"/>
        <v>1.452718783013049</v>
      </c>
      <c r="J128" s="417">
        <f t="shared" si="64"/>
        <v>1.7875492758692291</v>
      </c>
      <c r="K128" s="417">
        <f t="shared" si="64"/>
        <v>2.1184435952762395</v>
      </c>
      <c r="L128" s="417">
        <f t="shared" si="64"/>
        <v>2.4437882209222912</v>
      </c>
      <c r="M128" s="417">
        <f t="shared" si="64"/>
        <v>2.7632359756657308</v>
      </c>
      <c r="N128" s="417">
        <f t="shared" si="64"/>
        <v>3.0774447327247008</v>
      </c>
      <c r="O128" s="417">
        <f t="shared" si="64"/>
        <v>3.3873305503016993</v>
      </c>
      <c r="P128" s="417">
        <f t="shared" si="64"/>
        <v>3.693943149704892</v>
      </c>
      <c r="Q128" s="417">
        <f t="shared" si="64"/>
        <v>3.9977238264624746</v>
      </c>
      <c r="R128" s="417">
        <f t="shared" si="64"/>
        <v>4.2986883151872828</v>
      </c>
      <c r="S128" s="417">
        <f t="shared" si="64"/>
        <v>4.5969923451120653</v>
      </c>
      <c r="T128" s="417">
        <f t="shared" si="64"/>
        <v>4.8928861256867338</v>
      </c>
      <c r="U128" s="417">
        <f t="shared" si="64"/>
        <v>5.1866200459235952</v>
      </c>
      <c r="V128" s="417">
        <f t="shared" si="64"/>
        <v>5.4784088478894137</v>
      </c>
      <c r="W128" s="417">
        <f t="shared" si="64"/>
        <v>5.7684405338965128</v>
      </c>
      <c r="X128" s="417">
        <f t="shared" si="64"/>
        <v>6.057250720642374</v>
      </c>
      <c r="Y128" s="417">
        <f>SUM(Y94:Y125)</f>
        <v>6.057250720642374</v>
      </c>
    </row>
    <row r="129" spans="1:28">
      <c r="C129" s="243"/>
      <c r="D129" s="243"/>
      <c r="E129" s="420"/>
      <c r="F129" s="420"/>
      <c r="G129" s="420"/>
      <c r="H129" s="420"/>
      <c r="I129" s="420"/>
      <c r="J129" s="420"/>
      <c r="K129" s="420"/>
      <c r="L129" s="420"/>
      <c r="M129" s="420"/>
      <c r="N129" s="420"/>
      <c r="O129" s="420"/>
      <c r="P129" s="420"/>
      <c r="Q129" s="420"/>
      <c r="R129" s="420"/>
      <c r="S129" s="420"/>
      <c r="T129" s="420"/>
      <c r="U129" s="420"/>
      <c r="V129" s="420"/>
      <c r="W129" s="420"/>
      <c r="X129" s="420"/>
    </row>
    <row r="133" spans="1:28" ht="15">
      <c r="A133" s="421" t="s">
        <v>977</v>
      </c>
      <c r="B133" s="335"/>
      <c r="C133" s="406" t="s">
        <v>441</v>
      </c>
      <c r="H133" s="158"/>
      <c r="L133" s="158"/>
      <c r="P133" s="158"/>
      <c r="T133" s="158"/>
      <c r="X133" s="158"/>
    </row>
    <row r="134" spans="1:28">
      <c r="A134" s="273" t="s">
        <v>869</v>
      </c>
      <c r="B134" s="319">
        <f>1/VLOOKUP($C$11,[2]TURN!TURN,MATCH($C$12,[2]!BLDGTYPE,0),FALSE)</f>
        <v>5</v>
      </c>
      <c r="E134" s="258">
        <f>E11</f>
        <v>2016</v>
      </c>
      <c r="F134" s="258">
        <f t="shared" ref="F134:X134" si="65">F11</f>
        <v>2017</v>
      </c>
      <c r="G134" s="258">
        <f t="shared" si="65"/>
        <v>2018</v>
      </c>
      <c r="H134" s="258">
        <f t="shared" si="65"/>
        <v>2019</v>
      </c>
      <c r="I134" s="258">
        <f t="shared" si="65"/>
        <v>2020</v>
      </c>
      <c r="J134" s="258">
        <f t="shared" si="65"/>
        <v>2021</v>
      </c>
      <c r="K134" s="258">
        <f t="shared" si="65"/>
        <v>2022</v>
      </c>
      <c r="L134" s="258">
        <f t="shared" si="65"/>
        <v>2023</v>
      </c>
      <c r="M134" s="258">
        <f t="shared" si="65"/>
        <v>2024</v>
      </c>
      <c r="N134" s="258">
        <f t="shared" si="65"/>
        <v>2025</v>
      </c>
      <c r="O134" s="258">
        <f t="shared" si="65"/>
        <v>2026</v>
      </c>
      <c r="P134" s="258">
        <f t="shared" si="65"/>
        <v>2027</v>
      </c>
      <c r="Q134" s="258">
        <f t="shared" si="65"/>
        <v>2028</v>
      </c>
      <c r="R134" s="258">
        <f t="shared" si="65"/>
        <v>2029</v>
      </c>
      <c r="S134" s="258">
        <f t="shared" si="65"/>
        <v>2030</v>
      </c>
      <c r="T134" s="258">
        <f t="shared" si="65"/>
        <v>2031</v>
      </c>
      <c r="U134" s="258">
        <f t="shared" si="65"/>
        <v>2032</v>
      </c>
      <c r="V134" s="258">
        <f t="shared" si="65"/>
        <v>2033</v>
      </c>
      <c r="W134" s="258">
        <f t="shared" si="65"/>
        <v>2034</v>
      </c>
      <c r="X134" s="258">
        <f t="shared" si="65"/>
        <v>2035</v>
      </c>
      <c r="Y134" s="419" t="s">
        <v>976</v>
      </c>
    </row>
    <row r="135" spans="1:28">
      <c r="C135" s="11" t="s">
        <v>902</v>
      </c>
      <c r="E135" s="245">
        <f>E28-E40</f>
        <v>2692.8312370516846</v>
      </c>
      <c r="F135" s="245">
        <f t="shared" ref="F135:X135" si="66">F28-F40</f>
        <v>2013.188975889123</v>
      </c>
      <c r="G135" s="245">
        <f t="shared" si="66"/>
        <v>1513.0296345627112</v>
      </c>
      <c r="H135" s="245">
        <f t="shared" si="66"/>
        <v>1183.6027122900596</v>
      </c>
      <c r="I135" s="245">
        <f t="shared" si="66"/>
        <v>993.31763571130068</v>
      </c>
      <c r="J135" s="245">
        <f t="shared" si="66"/>
        <v>889.75714961123413</v>
      </c>
      <c r="K135" s="245">
        <f t="shared" si="66"/>
        <v>834.21564230971035</v>
      </c>
      <c r="L135" s="245">
        <f t="shared" si="66"/>
        <v>801.97140290999778</v>
      </c>
      <c r="M135" s="245">
        <f t="shared" si="66"/>
        <v>780.57535501860548</v>
      </c>
      <c r="N135" s="245">
        <f t="shared" si="66"/>
        <v>765.36817598163634</v>
      </c>
      <c r="O135" s="245">
        <f t="shared" si="66"/>
        <v>754.04776538103579</v>
      </c>
      <c r="P135" s="245">
        <f t="shared" si="66"/>
        <v>745.83869395490001</v>
      </c>
      <c r="Q135" s="245">
        <f t="shared" si="66"/>
        <v>738.87881815368655</v>
      </c>
      <c r="R135" s="245">
        <f t="shared" si="66"/>
        <v>732.00947652184368</v>
      </c>
      <c r="S135" s="245">
        <f t="shared" si="66"/>
        <v>725.53356629332939</v>
      </c>
      <c r="T135" s="245">
        <f t="shared" si="66"/>
        <v>719.67010270554101</v>
      </c>
      <c r="U135" s="245">
        <f t="shared" si="66"/>
        <v>714.41661095650807</v>
      </c>
      <c r="V135" s="245">
        <f t="shared" si="66"/>
        <v>709.68564674132085</v>
      </c>
      <c r="W135" s="245">
        <f t="shared" si="66"/>
        <v>705.41199322674174</v>
      </c>
      <c r="X135" s="245">
        <f t="shared" si="66"/>
        <v>702.44107263660408</v>
      </c>
      <c r="Y135" s="266">
        <f t="shared" ref="Y135:Y136" si="67">SUM(E135:X135)</f>
        <v>19715.791667907579</v>
      </c>
      <c r="Z135" s="11" t="s">
        <v>913</v>
      </c>
    </row>
    <row r="136" spans="1:28">
      <c r="E136" s="245"/>
      <c r="F136" s="245"/>
      <c r="G136" s="245"/>
      <c r="H136" s="245"/>
      <c r="I136" s="245"/>
      <c r="J136" s="245"/>
      <c r="K136" s="245"/>
      <c r="L136" s="245"/>
      <c r="M136" s="245"/>
      <c r="N136" s="245"/>
      <c r="O136" s="245"/>
      <c r="P136" s="245"/>
      <c r="Q136" s="245"/>
      <c r="R136" s="245"/>
      <c r="S136" s="245"/>
      <c r="T136" s="245"/>
      <c r="U136" s="245"/>
      <c r="V136" s="245"/>
      <c r="W136" s="245"/>
      <c r="X136" s="245"/>
      <c r="Y136" s="266">
        <f t="shared" si="67"/>
        <v>0</v>
      </c>
    </row>
    <row r="137" spans="1:28">
      <c r="C137" s="11" t="s">
        <v>870</v>
      </c>
      <c r="E137" s="245">
        <f>E135</f>
        <v>2692.8312370516846</v>
      </c>
      <c r="F137" s="245">
        <f t="shared" ref="F137:X137" si="68">F135</f>
        <v>2013.188975889123</v>
      </c>
      <c r="G137" s="245">
        <f t="shared" si="68"/>
        <v>1513.0296345627112</v>
      </c>
      <c r="H137" s="245">
        <f t="shared" si="68"/>
        <v>1183.6027122900596</v>
      </c>
      <c r="I137" s="245">
        <f t="shared" si="68"/>
        <v>993.31763571130068</v>
      </c>
      <c r="J137" s="245">
        <f t="shared" si="68"/>
        <v>889.75714961123413</v>
      </c>
      <c r="K137" s="245">
        <f t="shared" si="68"/>
        <v>834.21564230971035</v>
      </c>
      <c r="L137" s="245">
        <f t="shared" si="68"/>
        <v>801.97140290999778</v>
      </c>
      <c r="M137" s="245">
        <f t="shared" si="68"/>
        <v>780.57535501860548</v>
      </c>
      <c r="N137" s="245">
        <f t="shared" si="68"/>
        <v>765.36817598163634</v>
      </c>
      <c r="O137" s="245">
        <f t="shared" si="68"/>
        <v>754.04776538103579</v>
      </c>
      <c r="P137" s="245">
        <f t="shared" si="68"/>
        <v>745.83869395490001</v>
      </c>
      <c r="Q137" s="245">
        <f t="shared" si="68"/>
        <v>738.87881815368655</v>
      </c>
      <c r="R137" s="245">
        <f t="shared" si="68"/>
        <v>732.00947652184368</v>
      </c>
      <c r="S137" s="245">
        <f t="shared" si="68"/>
        <v>725.53356629332939</v>
      </c>
      <c r="T137" s="245">
        <f t="shared" si="68"/>
        <v>719.67010270554101</v>
      </c>
      <c r="U137" s="245">
        <f t="shared" si="68"/>
        <v>714.41661095650807</v>
      </c>
      <c r="V137" s="245">
        <f t="shared" si="68"/>
        <v>709.68564674132085</v>
      </c>
      <c r="W137" s="245">
        <f t="shared" si="68"/>
        <v>705.41199322674174</v>
      </c>
      <c r="X137" s="245">
        <f t="shared" si="68"/>
        <v>702.44107263660408</v>
      </c>
      <c r="Y137" s="266">
        <f>SUM(E137:X137)</f>
        <v>19715.791667907579</v>
      </c>
    </row>
    <row r="141" spans="1:28">
      <c r="C141" s="336" t="s">
        <v>908</v>
      </c>
      <c r="D141" s="336"/>
      <c r="E141" s="336"/>
      <c r="F141" s="336"/>
      <c r="G141" s="336"/>
      <c r="H141" s="336"/>
      <c r="I141" s="336"/>
      <c r="J141" s="336"/>
      <c r="K141" s="336"/>
      <c r="L141" s="336"/>
      <c r="M141" s="336"/>
      <c r="N141" s="336"/>
      <c r="O141" s="336"/>
      <c r="P141" s="336"/>
      <c r="Q141" s="336"/>
      <c r="R141" s="336"/>
      <c r="S141" s="336"/>
      <c r="T141" s="336"/>
      <c r="U141" s="336"/>
      <c r="V141" s="336"/>
      <c r="W141" s="336"/>
      <c r="X141" s="336"/>
      <c r="Y141" s="336"/>
      <c r="Z141" s="336"/>
      <c r="AA141" s="336"/>
      <c r="AB141" s="336"/>
    </row>
    <row r="142" spans="1:28">
      <c r="C142" s="336" t="s">
        <v>907</v>
      </c>
      <c r="D142" s="336"/>
      <c r="E142" s="337">
        <f>E135</f>
        <v>2692.8312370516846</v>
      </c>
      <c r="F142" s="337">
        <f t="shared" ref="F142:X142" si="69">F135</f>
        <v>2013.188975889123</v>
      </c>
      <c r="G142" s="337">
        <f t="shared" si="69"/>
        <v>1513.0296345627112</v>
      </c>
      <c r="H142" s="337">
        <f t="shared" si="69"/>
        <v>1183.6027122900596</v>
      </c>
      <c r="I142" s="337">
        <f t="shared" si="69"/>
        <v>993.31763571130068</v>
      </c>
      <c r="J142" s="337">
        <f t="shared" si="69"/>
        <v>889.75714961123413</v>
      </c>
      <c r="K142" s="337">
        <f t="shared" si="69"/>
        <v>834.21564230971035</v>
      </c>
      <c r="L142" s="337">
        <f t="shared" si="69"/>
        <v>801.97140290999778</v>
      </c>
      <c r="M142" s="337">
        <f t="shared" si="69"/>
        <v>780.57535501860548</v>
      </c>
      <c r="N142" s="337">
        <f t="shared" si="69"/>
        <v>765.36817598163634</v>
      </c>
      <c r="O142" s="337">
        <f t="shared" si="69"/>
        <v>754.04776538103579</v>
      </c>
      <c r="P142" s="337">
        <f t="shared" si="69"/>
        <v>745.83869395490001</v>
      </c>
      <c r="Q142" s="337">
        <f t="shared" si="69"/>
        <v>738.87881815368655</v>
      </c>
      <c r="R142" s="337">
        <f t="shared" si="69"/>
        <v>732.00947652184368</v>
      </c>
      <c r="S142" s="337">
        <f t="shared" si="69"/>
        <v>725.53356629332939</v>
      </c>
      <c r="T142" s="337">
        <f t="shared" si="69"/>
        <v>719.67010270554101</v>
      </c>
      <c r="U142" s="337">
        <f t="shared" si="69"/>
        <v>714.41661095650807</v>
      </c>
      <c r="V142" s="337">
        <f t="shared" si="69"/>
        <v>709.68564674132085</v>
      </c>
      <c r="W142" s="337">
        <f t="shared" si="69"/>
        <v>705.41199322674174</v>
      </c>
      <c r="X142" s="337">
        <f t="shared" si="69"/>
        <v>702.44107263660408</v>
      </c>
      <c r="Y142" s="338">
        <f t="shared" ref="Y142:Y143" si="70">SUM(E142:X142)</f>
        <v>19715.791667907579</v>
      </c>
      <c r="Z142" s="336"/>
      <c r="AA142" s="336"/>
      <c r="AB142" s="336"/>
    </row>
    <row r="143" spans="1:28">
      <c r="C143" s="336" t="s">
        <v>905</v>
      </c>
      <c r="D143" s="336"/>
      <c r="E143" s="337">
        <f>E40+E142</f>
        <v>5652.0617399999473</v>
      </c>
      <c r="F143" s="337">
        <f t="shared" ref="F143:X143" si="71">F40+F142</f>
        <v>5716.9471949999379</v>
      </c>
      <c r="G143" s="337">
        <f t="shared" si="71"/>
        <v>5744.9711700001008</v>
      </c>
      <c r="H143" s="337">
        <f t="shared" si="71"/>
        <v>5693.6937149999349</v>
      </c>
      <c r="I143" s="337">
        <f t="shared" si="71"/>
        <v>5610.2572350001183</v>
      </c>
      <c r="J143" s="337">
        <f t="shared" si="71"/>
        <v>5504.5271249999914</v>
      </c>
      <c r="K143" s="337">
        <f t="shared" si="71"/>
        <v>5394.7356749999908</v>
      </c>
      <c r="L143" s="337">
        <f t="shared" si="71"/>
        <v>5286.0033000000503</v>
      </c>
      <c r="M143" s="337">
        <f t="shared" si="71"/>
        <v>5183.3341799998761</v>
      </c>
      <c r="N143" s="337">
        <f t="shared" si="71"/>
        <v>5095.9210050000356</v>
      </c>
      <c r="O143" s="337">
        <f t="shared" si="71"/>
        <v>5025.0200850000274</v>
      </c>
      <c r="P143" s="337">
        <f t="shared" si="71"/>
        <v>4971.6981900000137</v>
      </c>
      <c r="Q143" s="337">
        <f t="shared" si="71"/>
        <v>4925.7076049999241</v>
      </c>
      <c r="R143" s="337">
        <f t="shared" si="71"/>
        <v>4880.0244150000999</v>
      </c>
      <c r="S143" s="337">
        <f t="shared" si="71"/>
        <v>4836.8809799999144</v>
      </c>
      <c r="T143" s="337">
        <f t="shared" si="71"/>
        <v>4797.7984799999076</v>
      </c>
      <c r="U143" s="337">
        <f t="shared" si="71"/>
        <v>4762.7769150000831</v>
      </c>
      <c r="V143" s="337">
        <f t="shared" si="71"/>
        <v>4731.2375400000292</v>
      </c>
      <c r="W143" s="337">
        <f t="shared" si="71"/>
        <v>4702.7465999999513</v>
      </c>
      <c r="X143" s="337">
        <f t="shared" si="71"/>
        <v>4682.9404800000084</v>
      </c>
      <c r="Y143" s="338">
        <f t="shared" si="70"/>
        <v>103199.28362999993</v>
      </c>
      <c r="Z143" s="336" t="s">
        <v>909</v>
      </c>
      <c r="AA143" s="336"/>
      <c r="AB143" s="336"/>
    </row>
    <row r="144" spans="1:28">
      <c r="C144" s="336" t="s">
        <v>906</v>
      </c>
      <c r="D144" s="336"/>
      <c r="E144" s="337">
        <f>E17*(1-$A$22)-E143</f>
        <v>0</v>
      </c>
      <c r="F144" s="337">
        <f t="shared" ref="F144:X144" si="72">F17*(1-$A$22)-F143</f>
        <v>0</v>
      </c>
      <c r="G144" s="337">
        <f t="shared" si="72"/>
        <v>0</v>
      </c>
      <c r="H144" s="337">
        <f t="shared" si="72"/>
        <v>0</v>
      </c>
      <c r="I144" s="337">
        <f t="shared" si="72"/>
        <v>0</v>
      </c>
      <c r="J144" s="337">
        <f t="shared" si="72"/>
        <v>0</v>
      </c>
      <c r="K144" s="337">
        <f t="shared" si="72"/>
        <v>0</v>
      </c>
      <c r="L144" s="337">
        <f t="shared" si="72"/>
        <v>0</v>
      </c>
      <c r="M144" s="337">
        <f t="shared" si="72"/>
        <v>0</v>
      </c>
      <c r="N144" s="337">
        <f t="shared" si="72"/>
        <v>0</v>
      </c>
      <c r="O144" s="337">
        <f t="shared" si="72"/>
        <v>0</v>
      </c>
      <c r="P144" s="337">
        <f t="shared" si="72"/>
        <v>0</v>
      </c>
      <c r="Q144" s="337">
        <f t="shared" si="72"/>
        <v>0</v>
      </c>
      <c r="R144" s="337">
        <f t="shared" si="72"/>
        <v>0</v>
      </c>
      <c r="S144" s="337">
        <f t="shared" si="72"/>
        <v>0</v>
      </c>
      <c r="T144" s="337">
        <f t="shared" si="72"/>
        <v>0</v>
      </c>
      <c r="U144" s="337">
        <f t="shared" si="72"/>
        <v>0</v>
      </c>
      <c r="V144" s="337">
        <f t="shared" si="72"/>
        <v>0</v>
      </c>
      <c r="W144" s="337">
        <f t="shared" si="72"/>
        <v>0</v>
      </c>
      <c r="X144" s="337">
        <f t="shared" si="72"/>
        <v>0</v>
      </c>
      <c r="Y144" s="336"/>
      <c r="Z144" s="336"/>
      <c r="AA144" s="336"/>
      <c r="AB144" s="336"/>
    </row>
    <row r="145" spans="3:28">
      <c r="C145" s="336"/>
      <c r="D145" s="336"/>
      <c r="E145" s="336"/>
      <c r="F145" s="336"/>
      <c r="G145" s="336"/>
      <c r="H145" s="336"/>
      <c r="I145" s="336"/>
      <c r="J145" s="336"/>
      <c r="K145" s="336"/>
      <c r="L145" s="336"/>
      <c r="M145" s="336"/>
      <c r="N145" s="336"/>
      <c r="O145" s="336"/>
      <c r="P145" s="336"/>
      <c r="Q145" s="336"/>
      <c r="R145" s="336"/>
      <c r="S145" s="336"/>
      <c r="T145" s="336"/>
      <c r="U145" s="336"/>
      <c r="V145" s="336"/>
      <c r="W145" s="336"/>
      <c r="X145" s="336"/>
      <c r="Y145" s="336"/>
      <c r="Z145" s="336"/>
      <c r="AA145" s="336"/>
      <c r="AB145" s="336"/>
    </row>
    <row r="146" spans="3:28">
      <c r="C146" s="336" t="s">
        <v>910</v>
      </c>
      <c r="D146" s="336"/>
      <c r="E146" s="337">
        <f>E143*$Y$12</f>
        <v>4804.2524789999552</v>
      </c>
      <c r="F146" s="337">
        <f t="shared" ref="F146:X146" si="73">F143*$Y$12</f>
        <v>4859.4051157499471</v>
      </c>
      <c r="G146" s="337">
        <f t="shared" si="73"/>
        <v>4883.2254945000859</v>
      </c>
      <c r="H146" s="337">
        <f t="shared" si="73"/>
        <v>4839.6396577499445</v>
      </c>
      <c r="I146" s="337">
        <f t="shared" si="73"/>
        <v>4768.7186497501007</v>
      </c>
      <c r="J146" s="337">
        <f t="shared" si="73"/>
        <v>4678.8480562499926</v>
      </c>
      <c r="K146" s="337">
        <f t="shared" si="73"/>
        <v>4585.5253237499919</v>
      </c>
      <c r="L146" s="337">
        <f t="shared" si="73"/>
        <v>4493.1028050000423</v>
      </c>
      <c r="M146" s="337">
        <f t="shared" si="73"/>
        <v>4405.834052999895</v>
      </c>
      <c r="N146" s="337">
        <f t="shared" si="73"/>
        <v>4331.5328542500301</v>
      </c>
      <c r="O146" s="337">
        <f t="shared" si="73"/>
        <v>4271.2670722500234</v>
      </c>
      <c r="P146" s="337">
        <f t="shared" si="73"/>
        <v>4225.9434615000118</v>
      </c>
      <c r="Q146" s="337">
        <f t="shared" si="73"/>
        <v>4186.8514642499358</v>
      </c>
      <c r="R146" s="337">
        <f t="shared" si="73"/>
        <v>4148.0207527500852</v>
      </c>
      <c r="S146" s="337">
        <f t="shared" si="73"/>
        <v>4111.3488329999273</v>
      </c>
      <c r="T146" s="337">
        <f t="shared" si="73"/>
        <v>4078.1287079999215</v>
      </c>
      <c r="U146" s="337">
        <f t="shared" si="73"/>
        <v>4048.3603777500707</v>
      </c>
      <c r="V146" s="337">
        <f t="shared" si="73"/>
        <v>4021.5519090000248</v>
      </c>
      <c r="W146" s="337">
        <f t="shared" si="73"/>
        <v>3997.3346099999585</v>
      </c>
      <c r="X146" s="337">
        <f t="shared" si="73"/>
        <v>3980.499408000007</v>
      </c>
      <c r="Y146" s="338">
        <f t="shared" ref="Y146" si="74">SUM(E146:X146)</f>
        <v>87719.391085499941</v>
      </c>
      <c r="Z146" s="336" t="s">
        <v>911</v>
      </c>
      <c r="AA146" s="336"/>
      <c r="AB146" s="336"/>
    </row>
    <row r="147" spans="3:28">
      <c r="C147" s="336"/>
      <c r="D147" s="336"/>
      <c r="E147" s="336"/>
      <c r="F147" s="336"/>
      <c r="G147" s="336"/>
      <c r="H147" s="336"/>
      <c r="I147" s="336"/>
      <c r="J147" s="336"/>
      <c r="K147" s="336"/>
      <c r="L147" s="336"/>
      <c r="M147" s="336"/>
      <c r="N147" s="336"/>
      <c r="O147" s="336"/>
      <c r="P147" s="336"/>
      <c r="Q147" s="336"/>
      <c r="R147" s="336"/>
      <c r="S147" s="336"/>
      <c r="T147" s="336"/>
      <c r="U147" s="336"/>
      <c r="V147" s="336"/>
      <c r="W147" s="336"/>
      <c r="X147" s="336"/>
      <c r="Y147" s="337">
        <f>Y135+Y40</f>
        <v>103199.28362999993</v>
      </c>
      <c r="Z147" s="336" t="s">
        <v>912</v>
      </c>
      <c r="AA147" s="336"/>
      <c r="AB147" s="336"/>
    </row>
  </sheetData>
  <mergeCells count="1">
    <mergeCell ref="B1:S5"/>
  </mergeCells>
  <dataValidations disablePrompts="1" count="1">
    <dataValidation type="list" allowBlank="1" showInputMessage="1" showErrorMessage="1" sqref="D8">
      <formula1>"ID, MT, OR, WA, Region"</formula1>
    </dataValidation>
  </dataValidation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sheetPr codeName="Sheet11"/>
  <dimension ref="B2:I33"/>
  <sheetViews>
    <sheetView workbookViewId="0">
      <selection activeCell="C38" sqref="C38"/>
    </sheetView>
  </sheetViews>
  <sheetFormatPr defaultRowHeight="12.75"/>
  <cols>
    <col min="3" max="3" width="61.5703125" customWidth="1"/>
    <col min="4" max="4" width="16.140625" customWidth="1"/>
    <col min="6" max="6" width="40.28515625" customWidth="1"/>
    <col min="7" max="7" width="5.42578125" customWidth="1"/>
    <col min="8" max="8" width="3.7109375" customWidth="1"/>
    <col min="9" max="9" width="9.140625" hidden="1" customWidth="1"/>
  </cols>
  <sheetData>
    <row r="2" spans="2:6">
      <c r="B2" s="281" t="s">
        <v>1</v>
      </c>
      <c r="C2" s="281" t="s">
        <v>790</v>
      </c>
      <c r="D2" s="281" t="s">
        <v>791</v>
      </c>
      <c r="E2" s="281" t="s">
        <v>792</v>
      </c>
      <c r="F2" s="281" t="s">
        <v>793</v>
      </c>
    </row>
    <row r="3" spans="2:6" s="283" customFormat="1" ht="14.25" customHeight="1">
      <c r="B3" s="284">
        <f>ROW()-2</f>
        <v>1</v>
      </c>
      <c r="C3" s="285" t="s">
        <v>797</v>
      </c>
      <c r="D3" s="286">
        <v>41945</v>
      </c>
      <c r="E3" s="287" t="s">
        <v>794</v>
      </c>
      <c r="F3" s="282"/>
    </row>
    <row r="4" spans="2:6">
      <c r="B4" s="284">
        <f t="shared" ref="B4:B32" si="0">ROW()-2</f>
        <v>2</v>
      </c>
      <c r="C4" s="285" t="s">
        <v>798</v>
      </c>
      <c r="D4" s="286">
        <v>41945</v>
      </c>
      <c r="E4" s="287" t="s">
        <v>794</v>
      </c>
    </row>
    <row r="5" spans="2:6">
      <c r="B5" s="284">
        <f t="shared" si="0"/>
        <v>3</v>
      </c>
      <c r="C5" s="285" t="s">
        <v>803</v>
      </c>
      <c r="D5" s="286">
        <v>41945</v>
      </c>
      <c r="E5" s="287" t="s">
        <v>794</v>
      </c>
    </row>
    <row r="6" spans="2:6">
      <c r="B6" s="284">
        <f t="shared" si="0"/>
        <v>4</v>
      </c>
      <c r="C6" s="285" t="s">
        <v>804</v>
      </c>
      <c r="D6" s="286">
        <v>41945</v>
      </c>
      <c r="E6" s="287" t="s">
        <v>794</v>
      </c>
    </row>
    <row r="7" spans="2:6">
      <c r="B7" s="284">
        <f t="shared" si="0"/>
        <v>5</v>
      </c>
      <c r="C7" s="285" t="s">
        <v>805</v>
      </c>
      <c r="D7" s="286">
        <v>41945</v>
      </c>
      <c r="E7" s="287" t="s">
        <v>794</v>
      </c>
    </row>
    <row r="8" spans="2:6">
      <c r="B8" s="284">
        <f t="shared" si="0"/>
        <v>6</v>
      </c>
      <c r="C8" s="285" t="s">
        <v>806</v>
      </c>
      <c r="D8" s="286">
        <v>41945</v>
      </c>
      <c r="E8" s="287" t="s">
        <v>794</v>
      </c>
    </row>
    <row r="9" spans="2:6">
      <c r="B9" s="284">
        <f t="shared" si="0"/>
        <v>7</v>
      </c>
      <c r="C9" s="285" t="s">
        <v>807</v>
      </c>
      <c r="D9" s="286">
        <v>41945</v>
      </c>
      <c r="E9" s="287" t="s">
        <v>794</v>
      </c>
    </row>
    <row r="10" spans="2:6">
      <c r="B10" s="284">
        <f t="shared" si="0"/>
        <v>8</v>
      </c>
      <c r="C10" s="285" t="s">
        <v>800</v>
      </c>
      <c r="D10" s="286">
        <v>41945</v>
      </c>
      <c r="E10" s="287" t="s">
        <v>794</v>
      </c>
    </row>
    <row r="11" spans="2:6">
      <c r="B11" s="284">
        <f t="shared" si="0"/>
        <v>9</v>
      </c>
      <c r="C11" s="285" t="s">
        <v>801</v>
      </c>
      <c r="D11" s="286">
        <v>41945</v>
      </c>
      <c r="E11" s="287" t="s">
        <v>794</v>
      </c>
    </row>
    <row r="12" spans="2:6">
      <c r="B12" s="284">
        <f t="shared" si="0"/>
        <v>10</v>
      </c>
      <c r="C12" s="285" t="s">
        <v>812</v>
      </c>
      <c r="D12" s="286">
        <v>41945</v>
      </c>
      <c r="E12" s="287" t="s">
        <v>794</v>
      </c>
    </row>
    <row r="13" spans="2:6">
      <c r="B13" s="284">
        <f t="shared" si="0"/>
        <v>11</v>
      </c>
      <c r="C13" s="285" t="s">
        <v>808</v>
      </c>
      <c r="D13" s="286">
        <v>41945</v>
      </c>
      <c r="E13" s="287" t="s">
        <v>794</v>
      </c>
    </row>
    <row r="14" spans="2:6">
      <c r="B14" s="284">
        <f t="shared" si="0"/>
        <v>12</v>
      </c>
      <c r="C14" s="285" t="s">
        <v>802</v>
      </c>
      <c r="D14" s="286">
        <v>41945</v>
      </c>
      <c r="E14" s="287" t="s">
        <v>794</v>
      </c>
    </row>
    <row r="15" spans="2:6">
      <c r="B15" s="284">
        <f t="shared" si="0"/>
        <v>13</v>
      </c>
      <c r="C15" s="285" t="s">
        <v>809</v>
      </c>
      <c r="D15" s="286">
        <v>41945</v>
      </c>
      <c r="E15" s="287" t="s">
        <v>794</v>
      </c>
    </row>
    <row r="16" spans="2:6">
      <c r="B16" s="284">
        <f t="shared" si="0"/>
        <v>14</v>
      </c>
      <c r="C16" s="285" t="s">
        <v>799</v>
      </c>
      <c r="D16" s="286">
        <v>41945</v>
      </c>
      <c r="E16" s="287" t="s">
        <v>794</v>
      </c>
    </row>
    <row r="17" spans="2:6">
      <c r="B17" s="284">
        <f t="shared" si="0"/>
        <v>15</v>
      </c>
      <c r="C17" s="285" t="s">
        <v>795</v>
      </c>
      <c r="D17" s="286">
        <v>41954</v>
      </c>
      <c r="E17" s="287" t="s">
        <v>794</v>
      </c>
    </row>
    <row r="18" spans="2:6">
      <c r="B18" s="284">
        <f t="shared" si="0"/>
        <v>16</v>
      </c>
      <c r="C18" s="285" t="s">
        <v>876</v>
      </c>
      <c r="D18" s="286">
        <v>41954</v>
      </c>
      <c r="E18" s="287" t="s">
        <v>794</v>
      </c>
    </row>
    <row r="19" spans="2:6">
      <c r="B19" s="284">
        <f t="shared" si="0"/>
        <v>17</v>
      </c>
      <c r="C19" s="285" t="s">
        <v>878</v>
      </c>
      <c r="D19" s="286">
        <v>41985</v>
      </c>
      <c r="E19" s="332" t="s">
        <v>794</v>
      </c>
    </row>
    <row r="20" spans="2:6">
      <c r="B20" s="284">
        <f t="shared" si="0"/>
        <v>18</v>
      </c>
      <c r="C20" t="s">
        <v>899</v>
      </c>
      <c r="E20" s="332" t="s">
        <v>794</v>
      </c>
    </row>
    <row r="21" spans="2:6">
      <c r="B21" s="284">
        <f t="shared" si="0"/>
        <v>19</v>
      </c>
      <c r="C21" s="285" t="s">
        <v>796</v>
      </c>
      <c r="D21" s="286">
        <v>41985</v>
      </c>
      <c r="E21" s="357" t="s">
        <v>794</v>
      </c>
      <c r="F21" s="359" t="s">
        <v>965</v>
      </c>
    </row>
    <row r="22" spans="2:6">
      <c r="B22" s="284">
        <f>ROW()-2</f>
        <v>20</v>
      </c>
      <c r="C22" s="359" t="s">
        <v>810</v>
      </c>
      <c r="D22" s="286">
        <v>42001</v>
      </c>
      <c r="E22" s="358" t="s">
        <v>794</v>
      </c>
      <c r="F22" s="359"/>
    </row>
    <row r="23" spans="2:6">
      <c r="B23" s="284">
        <f t="shared" si="0"/>
        <v>21</v>
      </c>
      <c r="C23" s="359" t="s">
        <v>811</v>
      </c>
      <c r="D23" s="436">
        <v>42014</v>
      </c>
      <c r="E23" s="358" t="s">
        <v>794</v>
      </c>
      <c r="F23" s="359" t="s">
        <v>1007</v>
      </c>
    </row>
    <row r="24" spans="2:6">
      <c r="B24" s="284">
        <f t="shared" si="0"/>
        <v>22</v>
      </c>
      <c r="C24" s="359" t="s">
        <v>848</v>
      </c>
      <c r="D24" s="436">
        <v>42014</v>
      </c>
      <c r="E24" s="358" t="s">
        <v>794</v>
      </c>
    </row>
    <row r="25" spans="2:6">
      <c r="B25" s="284">
        <f t="shared" si="0"/>
        <v>23</v>
      </c>
      <c r="C25" s="359" t="s">
        <v>900</v>
      </c>
      <c r="D25" s="436">
        <v>42014</v>
      </c>
      <c r="E25" s="401" t="s">
        <v>794</v>
      </c>
    </row>
    <row r="26" spans="2:6">
      <c r="B26" s="284">
        <f t="shared" si="0"/>
        <v>24</v>
      </c>
      <c r="C26" s="359" t="s">
        <v>964</v>
      </c>
      <c r="D26" s="436">
        <v>42014</v>
      </c>
      <c r="E26" s="435" t="s">
        <v>794</v>
      </c>
    </row>
    <row r="27" spans="2:6">
      <c r="B27" s="284">
        <f t="shared" si="0"/>
        <v>25</v>
      </c>
      <c r="C27" s="359" t="s">
        <v>904</v>
      </c>
      <c r="D27" s="436">
        <v>42014</v>
      </c>
      <c r="E27" s="435" t="s">
        <v>794</v>
      </c>
    </row>
    <row r="28" spans="2:6">
      <c r="B28" s="284">
        <f t="shared" si="0"/>
        <v>26</v>
      </c>
      <c r="C28" s="359" t="s">
        <v>950</v>
      </c>
      <c r="D28" s="286">
        <v>42001</v>
      </c>
      <c r="E28" s="401" t="s">
        <v>794</v>
      </c>
      <c r="F28" s="359" t="s">
        <v>965</v>
      </c>
    </row>
    <row r="29" spans="2:6">
      <c r="B29" s="284">
        <f t="shared" si="0"/>
        <v>27</v>
      </c>
      <c r="C29" t="s">
        <v>1005</v>
      </c>
      <c r="D29" s="196"/>
      <c r="E29" s="196"/>
    </row>
    <row r="30" spans="2:6">
      <c r="B30" s="284">
        <f t="shared" si="0"/>
        <v>28</v>
      </c>
      <c r="C30" t="s">
        <v>966</v>
      </c>
      <c r="D30" s="196"/>
      <c r="E30" s="196"/>
    </row>
    <row r="31" spans="2:6">
      <c r="B31" s="284">
        <f t="shared" si="0"/>
        <v>29</v>
      </c>
      <c r="D31" s="436"/>
      <c r="E31" s="196"/>
    </row>
    <row r="32" spans="2:6">
      <c r="B32" s="284">
        <f t="shared" si="0"/>
        <v>30</v>
      </c>
      <c r="E32" s="196"/>
    </row>
    <row r="33" spans="4:5">
      <c r="D33" s="196"/>
      <c r="E33" s="19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Sheet17"/>
  <dimension ref="A1:AG155"/>
  <sheetViews>
    <sheetView workbookViewId="0">
      <selection activeCell="E13" sqref="E13"/>
    </sheetView>
  </sheetViews>
  <sheetFormatPr defaultRowHeight="12.75"/>
  <cols>
    <col min="1" max="1" width="40.5703125" style="11" customWidth="1"/>
    <col min="2" max="2" width="18.7109375" style="11" customWidth="1"/>
    <col min="3" max="3" width="28.7109375" style="11" customWidth="1"/>
    <col min="4" max="4" width="24.5703125" style="11" customWidth="1"/>
    <col min="5" max="5" width="11" style="11" customWidth="1"/>
    <col min="6" max="6" width="10.28515625" style="11" bestFit="1" customWidth="1"/>
    <col min="7" max="24" width="11.140625" style="11" customWidth="1"/>
    <col min="25" max="25" width="11.5703125" style="11" customWidth="1"/>
    <col min="26" max="26" width="12.140625" style="11" customWidth="1"/>
    <col min="27" max="27" width="17.42578125" style="11" customWidth="1"/>
    <col min="28" max="28" width="12" style="11" customWidth="1"/>
    <col min="29" max="29" width="9.140625" style="11"/>
    <col min="30" max="30" width="11.7109375" style="11" customWidth="1"/>
    <col min="31" max="31" width="13" style="11" customWidth="1"/>
    <col min="32" max="32" width="9.140625" style="11"/>
    <col min="33" max="33" width="10.5703125" style="11" customWidth="1"/>
    <col min="34" max="255" width="9.140625" style="11"/>
    <col min="256" max="256" width="35" style="11" customWidth="1"/>
    <col min="257" max="257" width="16" style="11" customWidth="1"/>
    <col min="258" max="258" width="29.140625" style="11" customWidth="1"/>
    <col min="259" max="259" width="12.85546875" style="11" bestFit="1" customWidth="1"/>
    <col min="260" max="260" width="9.42578125" style="11" customWidth="1"/>
    <col min="261" max="511" width="9.140625" style="11"/>
    <col min="512" max="512" width="35" style="11" customWidth="1"/>
    <col min="513" max="513" width="16" style="11" customWidth="1"/>
    <col min="514" max="514" width="29.140625" style="11" customWidth="1"/>
    <col min="515" max="515" width="12.85546875" style="11" bestFit="1" customWidth="1"/>
    <col min="516" max="516" width="9.42578125" style="11" customWidth="1"/>
    <col min="517" max="767" width="9.140625" style="11"/>
    <col min="768" max="768" width="35" style="11" customWidth="1"/>
    <col min="769" max="769" width="16" style="11" customWidth="1"/>
    <col min="770" max="770" width="29.140625" style="11" customWidth="1"/>
    <col min="771" max="771" width="12.85546875" style="11" bestFit="1" customWidth="1"/>
    <col min="772" max="772" width="9.42578125" style="11" customWidth="1"/>
    <col min="773" max="1023" width="9.140625" style="11"/>
    <col min="1024" max="1024" width="35" style="11" customWidth="1"/>
    <col min="1025" max="1025" width="16" style="11" customWidth="1"/>
    <col min="1026" max="1026" width="29.140625" style="11" customWidth="1"/>
    <col min="1027" max="1027" width="12.85546875" style="11" bestFit="1" customWidth="1"/>
    <col min="1028" max="1028" width="9.42578125" style="11" customWidth="1"/>
    <col min="1029" max="1279" width="9.140625" style="11"/>
    <col min="1280" max="1280" width="35" style="11" customWidth="1"/>
    <col min="1281" max="1281" width="16" style="11" customWidth="1"/>
    <col min="1282" max="1282" width="29.140625" style="11" customWidth="1"/>
    <col min="1283" max="1283" width="12.85546875" style="11" bestFit="1" customWidth="1"/>
    <col min="1284" max="1284" width="9.42578125" style="11" customWidth="1"/>
    <col min="1285" max="1535" width="9.140625" style="11"/>
    <col min="1536" max="1536" width="35" style="11" customWidth="1"/>
    <col min="1537" max="1537" width="16" style="11" customWidth="1"/>
    <col min="1538" max="1538" width="29.140625" style="11" customWidth="1"/>
    <col min="1539" max="1539" width="12.85546875" style="11" bestFit="1" customWidth="1"/>
    <col min="1540" max="1540" width="9.42578125" style="11" customWidth="1"/>
    <col min="1541" max="1791" width="9.140625" style="11"/>
    <col min="1792" max="1792" width="35" style="11" customWidth="1"/>
    <col min="1793" max="1793" width="16" style="11" customWidth="1"/>
    <col min="1794" max="1794" width="29.140625" style="11" customWidth="1"/>
    <col min="1795" max="1795" width="12.85546875" style="11" bestFit="1" customWidth="1"/>
    <col min="1796" max="1796" width="9.42578125" style="11" customWidth="1"/>
    <col min="1797" max="2047" width="9.140625" style="11"/>
    <col min="2048" max="2048" width="35" style="11" customWidth="1"/>
    <col min="2049" max="2049" width="16" style="11" customWidth="1"/>
    <col min="2050" max="2050" width="29.140625" style="11" customWidth="1"/>
    <col min="2051" max="2051" width="12.85546875" style="11" bestFit="1" customWidth="1"/>
    <col min="2052" max="2052" width="9.42578125" style="11" customWidth="1"/>
    <col min="2053" max="2303" width="9.140625" style="11"/>
    <col min="2304" max="2304" width="35" style="11" customWidth="1"/>
    <col min="2305" max="2305" width="16" style="11" customWidth="1"/>
    <col min="2306" max="2306" width="29.140625" style="11" customWidth="1"/>
    <col min="2307" max="2307" width="12.85546875" style="11" bestFit="1" customWidth="1"/>
    <col min="2308" max="2308" width="9.42578125" style="11" customWidth="1"/>
    <col min="2309" max="2559" width="9.140625" style="11"/>
    <col min="2560" max="2560" width="35" style="11" customWidth="1"/>
    <col min="2561" max="2561" width="16" style="11" customWidth="1"/>
    <col min="2562" max="2562" width="29.140625" style="11" customWidth="1"/>
    <col min="2563" max="2563" width="12.85546875" style="11" bestFit="1" customWidth="1"/>
    <col min="2564" max="2564" width="9.42578125" style="11" customWidth="1"/>
    <col min="2565" max="2815" width="9.140625" style="11"/>
    <col min="2816" max="2816" width="35" style="11" customWidth="1"/>
    <col min="2817" max="2817" width="16" style="11" customWidth="1"/>
    <col min="2818" max="2818" width="29.140625" style="11" customWidth="1"/>
    <col min="2819" max="2819" width="12.85546875" style="11" bestFit="1" customWidth="1"/>
    <col min="2820" max="2820" width="9.42578125" style="11" customWidth="1"/>
    <col min="2821" max="3071" width="9.140625" style="11"/>
    <col min="3072" max="3072" width="35" style="11" customWidth="1"/>
    <col min="3073" max="3073" width="16" style="11" customWidth="1"/>
    <col min="3074" max="3074" width="29.140625" style="11" customWidth="1"/>
    <col min="3075" max="3075" width="12.85546875" style="11" bestFit="1" customWidth="1"/>
    <col min="3076" max="3076" width="9.42578125" style="11" customWidth="1"/>
    <col min="3077" max="3327" width="9.140625" style="11"/>
    <col min="3328" max="3328" width="35" style="11" customWidth="1"/>
    <col min="3329" max="3329" width="16" style="11" customWidth="1"/>
    <col min="3330" max="3330" width="29.140625" style="11" customWidth="1"/>
    <col min="3331" max="3331" width="12.85546875" style="11" bestFit="1" customWidth="1"/>
    <col min="3332" max="3332" width="9.42578125" style="11" customWidth="1"/>
    <col min="3333" max="3583" width="9.140625" style="11"/>
    <col min="3584" max="3584" width="35" style="11" customWidth="1"/>
    <col min="3585" max="3585" width="16" style="11" customWidth="1"/>
    <col min="3586" max="3586" width="29.140625" style="11" customWidth="1"/>
    <col min="3587" max="3587" width="12.85546875" style="11" bestFit="1" customWidth="1"/>
    <col min="3588" max="3588" width="9.42578125" style="11" customWidth="1"/>
    <col min="3589" max="3839" width="9.140625" style="11"/>
    <col min="3840" max="3840" width="35" style="11" customWidth="1"/>
    <col min="3841" max="3841" width="16" style="11" customWidth="1"/>
    <col min="3842" max="3842" width="29.140625" style="11" customWidth="1"/>
    <col min="3843" max="3843" width="12.85546875" style="11" bestFit="1" customWidth="1"/>
    <col min="3844" max="3844" width="9.42578125" style="11" customWidth="1"/>
    <col min="3845" max="4095" width="9.140625" style="11"/>
    <col min="4096" max="4096" width="35" style="11" customWidth="1"/>
    <col min="4097" max="4097" width="16" style="11" customWidth="1"/>
    <col min="4098" max="4098" width="29.140625" style="11" customWidth="1"/>
    <col min="4099" max="4099" width="12.85546875" style="11" bestFit="1" customWidth="1"/>
    <col min="4100" max="4100" width="9.42578125" style="11" customWidth="1"/>
    <col min="4101" max="4351" width="9.140625" style="11"/>
    <col min="4352" max="4352" width="35" style="11" customWidth="1"/>
    <col min="4353" max="4353" width="16" style="11" customWidth="1"/>
    <col min="4354" max="4354" width="29.140625" style="11" customWidth="1"/>
    <col min="4355" max="4355" width="12.85546875" style="11" bestFit="1" customWidth="1"/>
    <col min="4356" max="4356" width="9.42578125" style="11" customWidth="1"/>
    <col min="4357" max="4607" width="9.140625" style="11"/>
    <col min="4608" max="4608" width="35" style="11" customWidth="1"/>
    <col min="4609" max="4609" width="16" style="11" customWidth="1"/>
    <col min="4610" max="4610" width="29.140625" style="11" customWidth="1"/>
    <col min="4611" max="4611" width="12.85546875" style="11" bestFit="1" customWidth="1"/>
    <col min="4612" max="4612" width="9.42578125" style="11" customWidth="1"/>
    <col min="4613" max="4863" width="9.140625" style="11"/>
    <col min="4864" max="4864" width="35" style="11" customWidth="1"/>
    <col min="4865" max="4865" width="16" style="11" customWidth="1"/>
    <col min="4866" max="4866" width="29.140625" style="11" customWidth="1"/>
    <col min="4867" max="4867" width="12.85546875" style="11" bestFit="1" customWidth="1"/>
    <col min="4868" max="4868" width="9.42578125" style="11" customWidth="1"/>
    <col min="4869" max="5119" width="9.140625" style="11"/>
    <col min="5120" max="5120" width="35" style="11" customWidth="1"/>
    <col min="5121" max="5121" width="16" style="11" customWidth="1"/>
    <col min="5122" max="5122" width="29.140625" style="11" customWidth="1"/>
    <col min="5123" max="5123" width="12.85546875" style="11" bestFit="1" customWidth="1"/>
    <col min="5124" max="5124" width="9.42578125" style="11" customWidth="1"/>
    <col min="5125" max="5375" width="9.140625" style="11"/>
    <col min="5376" max="5376" width="35" style="11" customWidth="1"/>
    <col min="5377" max="5377" width="16" style="11" customWidth="1"/>
    <col min="5378" max="5378" width="29.140625" style="11" customWidth="1"/>
    <col min="5379" max="5379" width="12.85546875" style="11" bestFit="1" customWidth="1"/>
    <col min="5380" max="5380" width="9.42578125" style="11" customWidth="1"/>
    <col min="5381" max="5631" width="9.140625" style="11"/>
    <col min="5632" max="5632" width="35" style="11" customWidth="1"/>
    <col min="5633" max="5633" width="16" style="11" customWidth="1"/>
    <col min="5634" max="5634" width="29.140625" style="11" customWidth="1"/>
    <col min="5635" max="5635" width="12.85546875" style="11" bestFit="1" customWidth="1"/>
    <col min="5636" max="5636" width="9.42578125" style="11" customWidth="1"/>
    <col min="5637" max="5887" width="9.140625" style="11"/>
    <col min="5888" max="5888" width="35" style="11" customWidth="1"/>
    <col min="5889" max="5889" width="16" style="11" customWidth="1"/>
    <col min="5890" max="5890" width="29.140625" style="11" customWidth="1"/>
    <col min="5891" max="5891" width="12.85546875" style="11" bestFit="1" customWidth="1"/>
    <col min="5892" max="5892" width="9.42578125" style="11" customWidth="1"/>
    <col min="5893" max="6143" width="9.140625" style="11"/>
    <col min="6144" max="6144" width="35" style="11" customWidth="1"/>
    <col min="6145" max="6145" width="16" style="11" customWidth="1"/>
    <col min="6146" max="6146" width="29.140625" style="11" customWidth="1"/>
    <col min="6147" max="6147" width="12.85546875" style="11" bestFit="1" customWidth="1"/>
    <col min="6148" max="6148" width="9.42578125" style="11" customWidth="1"/>
    <col min="6149" max="6399" width="9.140625" style="11"/>
    <col min="6400" max="6400" width="35" style="11" customWidth="1"/>
    <col min="6401" max="6401" width="16" style="11" customWidth="1"/>
    <col min="6402" max="6402" width="29.140625" style="11" customWidth="1"/>
    <col min="6403" max="6403" width="12.85546875" style="11" bestFit="1" customWidth="1"/>
    <col min="6404" max="6404" width="9.42578125" style="11" customWidth="1"/>
    <col min="6405" max="6655" width="9.140625" style="11"/>
    <col min="6656" max="6656" width="35" style="11" customWidth="1"/>
    <col min="6657" max="6657" width="16" style="11" customWidth="1"/>
    <col min="6658" max="6658" width="29.140625" style="11" customWidth="1"/>
    <col min="6659" max="6659" width="12.85546875" style="11" bestFit="1" customWidth="1"/>
    <col min="6660" max="6660" width="9.42578125" style="11" customWidth="1"/>
    <col min="6661" max="6911" width="9.140625" style="11"/>
    <col min="6912" max="6912" width="35" style="11" customWidth="1"/>
    <col min="6913" max="6913" width="16" style="11" customWidth="1"/>
    <col min="6914" max="6914" width="29.140625" style="11" customWidth="1"/>
    <col min="6915" max="6915" width="12.85546875" style="11" bestFit="1" customWidth="1"/>
    <col min="6916" max="6916" width="9.42578125" style="11" customWidth="1"/>
    <col min="6917" max="7167" width="9.140625" style="11"/>
    <col min="7168" max="7168" width="35" style="11" customWidth="1"/>
    <col min="7169" max="7169" width="16" style="11" customWidth="1"/>
    <col min="7170" max="7170" width="29.140625" style="11" customWidth="1"/>
    <col min="7171" max="7171" width="12.85546875" style="11" bestFit="1" customWidth="1"/>
    <col min="7172" max="7172" width="9.42578125" style="11" customWidth="1"/>
    <col min="7173" max="7423" width="9.140625" style="11"/>
    <col min="7424" max="7424" width="35" style="11" customWidth="1"/>
    <col min="7425" max="7425" width="16" style="11" customWidth="1"/>
    <col min="7426" max="7426" width="29.140625" style="11" customWidth="1"/>
    <col min="7427" max="7427" width="12.85546875" style="11" bestFit="1" customWidth="1"/>
    <col min="7428" max="7428" width="9.42578125" style="11" customWidth="1"/>
    <col min="7429" max="7679" width="9.140625" style="11"/>
    <col min="7680" max="7680" width="35" style="11" customWidth="1"/>
    <col min="7681" max="7681" width="16" style="11" customWidth="1"/>
    <col min="7682" max="7682" width="29.140625" style="11" customWidth="1"/>
    <col min="7683" max="7683" width="12.85546875" style="11" bestFit="1" customWidth="1"/>
    <col min="7684" max="7684" width="9.42578125" style="11" customWidth="1"/>
    <col min="7685" max="7935" width="9.140625" style="11"/>
    <col min="7936" max="7936" width="35" style="11" customWidth="1"/>
    <col min="7937" max="7937" width="16" style="11" customWidth="1"/>
    <col min="7938" max="7938" width="29.140625" style="11" customWidth="1"/>
    <col min="7939" max="7939" width="12.85546875" style="11" bestFit="1" customWidth="1"/>
    <col min="7940" max="7940" width="9.42578125" style="11" customWidth="1"/>
    <col min="7941" max="8191" width="9.140625" style="11"/>
    <col min="8192" max="8192" width="35" style="11" customWidth="1"/>
    <col min="8193" max="8193" width="16" style="11" customWidth="1"/>
    <col min="8194" max="8194" width="29.140625" style="11" customWidth="1"/>
    <col min="8195" max="8195" width="12.85546875" style="11" bestFit="1" customWidth="1"/>
    <col min="8196" max="8196" width="9.42578125" style="11" customWidth="1"/>
    <col min="8197" max="8447" width="9.140625" style="11"/>
    <col min="8448" max="8448" width="35" style="11" customWidth="1"/>
    <col min="8449" max="8449" width="16" style="11" customWidth="1"/>
    <col min="8450" max="8450" width="29.140625" style="11" customWidth="1"/>
    <col min="8451" max="8451" width="12.85546875" style="11" bestFit="1" customWidth="1"/>
    <col min="8452" max="8452" width="9.42578125" style="11" customWidth="1"/>
    <col min="8453" max="8703" width="9.140625" style="11"/>
    <col min="8704" max="8704" width="35" style="11" customWidth="1"/>
    <col min="8705" max="8705" width="16" style="11" customWidth="1"/>
    <col min="8706" max="8706" width="29.140625" style="11" customWidth="1"/>
    <col min="8707" max="8707" width="12.85546875" style="11" bestFit="1" customWidth="1"/>
    <col min="8708" max="8708" width="9.42578125" style="11" customWidth="1"/>
    <col min="8709" max="8959" width="9.140625" style="11"/>
    <col min="8960" max="8960" width="35" style="11" customWidth="1"/>
    <col min="8961" max="8961" width="16" style="11" customWidth="1"/>
    <col min="8962" max="8962" width="29.140625" style="11" customWidth="1"/>
    <col min="8963" max="8963" width="12.85546875" style="11" bestFit="1" customWidth="1"/>
    <col min="8964" max="8964" width="9.42578125" style="11" customWidth="1"/>
    <col min="8965" max="9215" width="9.140625" style="11"/>
    <col min="9216" max="9216" width="35" style="11" customWidth="1"/>
    <col min="9217" max="9217" width="16" style="11" customWidth="1"/>
    <col min="9218" max="9218" width="29.140625" style="11" customWidth="1"/>
    <col min="9219" max="9219" width="12.85546875" style="11" bestFit="1" customWidth="1"/>
    <col min="9220" max="9220" width="9.42578125" style="11" customWidth="1"/>
    <col min="9221" max="9471" width="9.140625" style="11"/>
    <col min="9472" max="9472" width="35" style="11" customWidth="1"/>
    <col min="9473" max="9473" width="16" style="11" customWidth="1"/>
    <col min="9474" max="9474" width="29.140625" style="11" customWidth="1"/>
    <col min="9475" max="9475" width="12.85546875" style="11" bestFit="1" customWidth="1"/>
    <col min="9476" max="9476" width="9.42578125" style="11" customWidth="1"/>
    <col min="9477" max="9727" width="9.140625" style="11"/>
    <col min="9728" max="9728" width="35" style="11" customWidth="1"/>
    <col min="9729" max="9729" width="16" style="11" customWidth="1"/>
    <col min="9730" max="9730" width="29.140625" style="11" customWidth="1"/>
    <col min="9731" max="9731" width="12.85546875" style="11" bestFit="1" customWidth="1"/>
    <col min="9732" max="9732" width="9.42578125" style="11" customWidth="1"/>
    <col min="9733" max="9983" width="9.140625" style="11"/>
    <col min="9984" max="9984" width="35" style="11" customWidth="1"/>
    <col min="9985" max="9985" width="16" style="11" customWidth="1"/>
    <col min="9986" max="9986" width="29.140625" style="11" customWidth="1"/>
    <col min="9987" max="9987" width="12.85546875" style="11" bestFit="1" customWidth="1"/>
    <col min="9988" max="9988" width="9.42578125" style="11" customWidth="1"/>
    <col min="9989" max="10239" width="9.140625" style="11"/>
    <col min="10240" max="10240" width="35" style="11" customWidth="1"/>
    <col min="10241" max="10241" width="16" style="11" customWidth="1"/>
    <col min="10242" max="10242" width="29.140625" style="11" customWidth="1"/>
    <col min="10243" max="10243" width="12.85546875" style="11" bestFit="1" customWidth="1"/>
    <col min="10244" max="10244" width="9.42578125" style="11" customWidth="1"/>
    <col min="10245" max="10495" width="9.140625" style="11"/>
    <col min="10496" max="10496" width="35" style="11" customWidth="1"/>
    <col min="10497" max="10497" width="16" style="11" customWidth="1"/>
    <col min="10498" max="10498" width="29.140625" style="11" customWidth="1"/>
    <col min="10499" max="10499" width="12.85546875" style="11" bestFit="1" customWidth="1"/>
    <col min="10500" max="10500" width="9.42578125" style="11" customWidth="1"/>
    <col min="10501" max="10751" width="9.140625" style="11"/>
    <col min="10752" max="10752" width="35" style="11" customWidth="1"/>
    <col min="10753" max="10753" width="16" style="11" customWidth="1"/>
    <col min="10754" max="10754" width="29.140625" style="11" customWidth="1"/>
    <col min="10755" max="10755" width="12.85546875" style="11" bestFit="1" customWidth="1"/>
    <col min="10756" max="10756" width="9.42578125" style="11" customWidth="1"/>
    <col min="10757" max="11007" width="9.140625" style="11"/>
    <col min="11008" max="11008" width="35" style="11" customWidth="1"/>
    <col min="11009" max="11009" width="16" style="11" customWidth="1"/>
    <col min="11010" max="11010" width="29.140625" style="11" customWidth="1"/>
    <col min="11011" max="11011" width="12.85546875" style="11" bestFit="1" customWidth="1"/>
    <col min="11012" max="11012" width="9.42578125" style="11" customWidth="1"/>
    <col min="11013" max="11263" width="9.140625" style="11"/>
    <col min="11264" max="11264" width="35" style="11" customWidth="1"/>
    <col min="11265" max="11265" width="16" style="11" customWidth="1"/>
    <col min="11266" max="11266" width="29.140625" style="11" customWidth="1"/>
    <col min="11267" max="11267" width="12.85546875" style="11" bestFit="1" customWidth="1"/>
    <col min="11268" max="11268" width="9.42578125" style="11" customWidth="1"/>
    <col min="11269" max="11519" width="9.140625" style="11"/>
    <col min="11520" max="11520" width="35" style="11" customWidth="1"/>
    <col min="11521" max="11521" width="16" style="11" customWidth="1"/>
    <col min="11522" max="11522" width="29.140625" style="11" customWidth="1"/>
    <col min="11523" max="11523" width="12.85546875" style="11" bestFit="1" customWidth="1"/>
    <col min="11524" max="11524" width="9.42578125" style="11" customWidth="1"/>
    <col min="11525" max="11775" width="9.140625" style="11"/>
    <col min="11776" max="11776" width="35" style="11" customWidth="1"/>
    <col min="11777" max="11777" width="16" style="11" customWidth="1"/>
    <col min="11778" max="11778" width="29.140625" style="11" customWidth="1"/>
    <col min="11779" max="11779" width="12.85546875" style="11" bestFit="1" customWidth="1"/>
    <col min="11780" max="11780" width="9.42578125" style="11" customWidth="1"/>
    <col min="11781" max="12031" width="9.140625" style="11"/>
    <col min="12032" max="12032" width="35" style="11" customWidth="1"/>
    <col min="12033" max="12033" width="16" style="11" customWidth="1"/>
    <col min="12034" max="12034" width="29.140625" style="11" customWidth="1"/>
    <col min="12035" max="12035" width="12.85546875" style="11" bestFit="1" customWidth="1"/>
    <col min="12036" max="12036" width="9.42578125" style="11" customWidth="1"/>
    <col min="12037" max="12287" width="9.140625" style="11"/>
    <col min="12288" max="12288" width="35" style="11" customWidth="1"/>
    <col min="12289" max="12289" width="16" style="11" customWidth="1"/>
    <col min="12290" max="12290" width="29.140625" style="11" customWidth="1"/>
    <col min="12291" max="12291" width="12.85546875" style="11" bestFit="1" customWidth="1"/>
    <col min="12292" max="12292" width="9.42578125" style="11" customWidth="1"/>
    <col min="12293" max="12543" width="9.140625" style="11"/>
    <col min="12544" max="12544" width="35" style="11" customWidth="1"/>
    <col min="12545" max="12545" width="16" style="11" customWidth="1"/>
    <col min="12546" max="12546" width="29.140625" style="11" customWidth="1"/>
    <col min="12547" max="12547" width="12.85546875" style="11" bestFit="1" customWidth="1"/>
    <col min="12548" max="12548" width="9.42578125" style="11" customWidth="1"/>
    <col min="12549" max="12799" width="9.140625" style="11"/>
    <col min="12800" max="12800" width="35" style="11" customWidth="1"/>
    <col min="12801" max="12801" width="16" style="11" customWidth="1"/>
    <col min="12802" max="12802" width="29.140625" style="11" customWidth="1"/>
    <col min="12803" max="12803" width="12.85546875" style="11" bestFit="1" customWidth="1"/>
    <col min="12804" max="12804" width="9.42578125" style="11" customWidth="1"/>
    <col min="12805" max="13055" width="9.140625" style="11"/>
    <col min="13056" max="13056" width="35" style="11" customWidth="1"/>
    <col min="13057" max="13057" width="16" style="11" customWidth="1"/>
    <col min="13058" max="13058" width="29.140625" style="11" customWidth="1"/>
    <col min="13059" max="13059" width="12.85546875" style="11" bestFit="1" customWidth="1"/>
    <col min="13060" max="13060" width="9.42578125" style="11" customWidth="1"/>
    <col min="13061" max="13311" width="9.140625" style="11"/>
    <col min="13312" max="13312" width="35" style="11" customWidth="1"/>
    <col min="13313" max="13313" width="16" style="11" customWidth="1"/>
    <col min="13314" max="13314" width="29.140625" style="11" customWidth="1"/>
    <col min="13315" max="13315" width="12.85546875" style="11" bestFit="1" customWidth="1"/>
    <col min="13316" max="13316" width="9.42578125" style="11" customWidth="1"/>
    <col min="13317" max="13567" width="9.140625" style="11"/>
    <col min="13568" max="13568" width="35" style="11" customWidth="1"/>
    <col min="13569" max="13569" width="16" style="11" customWidth="1"/>
    <col min="13570" max="13570" width="29.140625" style="11" customWidth="1"/>
    <col min="13571" max="13571" width="12.85546875" style="11" bestFit="1" customWidth="1"/>
    <col min="13572" max="13572" width="9.42578125" style="11" customWidth="1"/>
    <col min="13573" max="13823" width="9.140625" style="11"/>
    <col min="13824" max="13824" width="35" style="11" customWidth="1"/>
    <col min="13825" max="13825" width="16" style="11" customWidth="1"/>
    <col min="13826" max="13826" width="29.140625" style="11" customWidth="1"/>
    <col min="13827" max="13827" width="12.85546875" style="11" bestFit="1" customWidth="1"/>
    <col min="13828" max="13828" width="9.42578125" style="11" customWidth="1"/>
    <col min="13829" max="14079" width="9.140625" style="11"/>
    <col min="14080" max="14080" width="35" style="11" customWidth="1"/>
    <col min="14081" max="14081" width="16" style="11" customWidth="1"/>
    <col min="14082" max="14082" width="29.140625" style="11" customWidth="1"/>
    <col min="14083" max="14083" width="12.85546875" style="11" bestFit="1" customWidth="1"/>
    <col min="14084" max="14084" width="9.42578125" style="11" customWidth="1"/>
    <col min="14085" max="14335" width="9.140625" style="11"/>
    <col min="14336" max="14336" width="35" style="11" customWidth="1"/>
    <col min="14337" max="14337" width="16" style="11" customWidth="1"/>
    <col min="14338" max="14338" width="29.140625" style="11" customWidth="1"/>
    <col min="14339" max="14339" width="12.85546875" style="11" bestFit="1" customWidth="1"/>
    <col min="14340" max="14340" width="9.42578125" style="11" customWidth="1"/>
    <col min="14341" max="14591" width="9.140625" style="11"/>
    <col min="14592" max="14592" width="35" style="11" customWidth="1"/>
    <col min="14593" max="14593" width="16" style="11" customWidth="1"/>
    <col min="14594" max="14594" width="29.140625" style="11" customWidth="1"/>
    <col min="14595" max="14595" width="12.85546875" style="11" bestFit="1" customWidth="1"/>
    <col min="14596" max="14596" width="9.42578125" style="11" customWidth="1"/>
    <col min="14597" max="14847" width="9.140625" style="11"/>
    <col min="14848" max="14848" width="35" style="11" customWidth="1"/>
    <col min="14849" max="14849" width="16" style="11" customWidth="1"/>
    <col min="14850" max="14850" width="29.140625" style="11" customWidth="1"/>
    <col min="14851" max="14851" width="12.85546875" style="11" bestFit="1" customWidth="1"/>
    <col min="14852" max="14852" width="9.42578125" style="11" customWidth="1"/>
    <col min="14853" max="15103" width="9.140625" style="11"/>
    <col min="15104" max="15104" width="35" style="11" customWidth="1"/>
    <col min="15105" max="15105" width="16" style="11" customWidth="1"/>
    <col min="15106" max="15106" width="29.140625" style="11" customWidth="1"/>
    <col min="15107" max="15107" width="12.85546875" style="11" bestFit="1" customWidth="1"/>
    <col min="15108" max="15108" width="9.42578125" style="11" customWidth="1"/>
    <col min="15109" max="15359" width="9.140625" style="11"/>
    <col min="15360" max="15360" width="35" style="11" customWidth="1"/>
    <col min="15361" max="15361" width="16" style="11" customWidth="1"/>
    <col min="15362" max="15362" width="29.140625" style="11" customWidth="1"/>
    <col min="15363" max="15363" width="12.85546875" style="11" bestFit="1" customWidth="1"/>
    <col min="15364" max="15364" width="9.42578125" style="11" customWidth="1"/>
    <col min="15365" max="15615" width="9.140625" style="11"/>
    <col min="15616" max="15616" width="35" style="11" customWidth="1"/>
    <col min="15617" max="15617" width="16" style="11" customWidth="1"/>
    <col min="15618" max="15618" width="29.140625" style="11" customWidth="1"/>
    <col min="15619" max="15619" width="12.85546875" style="11" bestFit="1" customWidth="1"/>
    <col min="15620" max="15620" width="9.42578125" style="11" customWidth="1"/>
    <col min="15621" max="15871" width="9.140625" style="11"/>
    <col min="15872" max="15872" width="35" style="11" customWidth="1"/>
    <col min="15873" max="15873" width="16" style="11" customWidth="1"/>
    <col min="15874" max="15874" width="29.140625" style="11" customWidth="1"/>
    <col min="15875" max="15875" width="12.85546875" style="11" bestFit="1" customWidth="1"/>
    <col min="15876" max="15876" width="9.42578125" style="11" customWidth="1"/>
    <col min="15877" max="16127" width="9.140625" style="11"/>
    <col min="16128" max="16128" width="35" style="11" customWidth="1"/>
    <col min="16129" max="16129" width="16" style="11" customWidth="1"/>
    <col min="16130" max="16130" width="29.140625" style="11" customWidth="1"/>
    <col min="16131" max="16131" width="12.85546875" style="11" bestFit="1" customWidth="1"/>
    <col min="16132" max="16132" width="9.42578125" style="11" customWidth="1"/>
    <col min="16133" max="16384" width="9.140625" style="11"/>
  </cols>
  <sheetData>
    <row r="1" spans="1:25" ht="12.75" customHeight="1">
      <c r="A1" s="250" t="s">
        <v>676</v>
      </c>
      <c r="B1" s="437" t="s">
        <v>774</v>
      </c>
      <c r="C1" s="438"/>
      <c r="D1" s="438"/>
      <c r="E1" s="438"/>
      <c r="F1" s="438"/>
      <c r="G1" s="438"/>
      <c r="H1" s="438"/>
      <c r="I1" s="438"/>
      <c r="J1" s="438"/>
      <c r="K1" s="438"/>
      <c r="L1" s="438"/>
      <c r="M1" s="438"/>
      <c r="N1" s="438"/>
      <c r="O1" s="438"/>
      <c r="P1" s="438"/>
      <c r="Q1" s="438"/>
      <c r="R1" s="438"/>
      <c r="S1" s="439"/>
      <c r="T1" s="243"/>
      <c r="U1" s="243"/>
      <c r="V1" s="243"/>
      <c r="W1" s="243"/>
    </row>
    <row r="2" spans="1:25" ht="12.75" customHeight="1">
      <c r="A2" s="251"/>
      <c r="B2" s="440"/>
      <c r="C2" s="441"/>
      <c r="D2" s="441"/>
      <c r="E2" s="441"/>
      <c r="F2" s="441"/>
      <c r="G2" s="441"/>
      <c r="H2" s="441"/>
      <c r="I2" s="441"/>
      <c r="J2" s="441"/>
      <c r="K2" s="441"/>
      <c r="L2" s="441"/>
      <c r="M2" s="441"/>
      <c r="N2" s="441"/>
      <c r="O2" s="441"/>
      <c r="P2" s="441"/>
      <c r="Q2" s="441"/>
      <c r="R2" s="441"/>
      <c r="S2" s="442"/>
      <c r="T2" s="244"/>
      <c r="U2" s="244"/>
      <c r="V2" s="244"/>
      <c r="W2" s="244"/>
    </row>
    <row r="3" spans="1:25">
      <c r="A3" s="251"/>
      <c r="B3" s="440"/>
      <c r="C3" s="441"/>
      <c r="D3" s="441"/>
      <c r="E3" s="441"/>
      <c r="F3" s="441"/>
      <c r="G3" s="441"/>
      <c r="H3" s="441"/>
      <c r="I3" s="441"/>
      <c r="J3" s="441"/>
      <c r="K3" s="441"/>
      <c r="L3" s="441"/>
      <c r="M3" s="441"/>
      <c r="N3" s="441"/>
      <c r="O3" s="441"/>
      <c r="P3" s="441"/>
      <c r="Q3" s="441"/>
      <c r="R3" s="441"/>
      <c r="S3" s="442"/>
      <c r="T3" s="244"/>
      <c r="U3" s="244"/>
      <c r="V3" s="244"/>
      <c r="W3" s="244"/>
    </row>
    <row r="4" spans="1:25">
      <c r="A4" s="251"/>
      <c r="B4" s="440"/>
      <c r="C4" s="441"/>
      <c r="D4" s="441"/>
      <c r="E4" s="441"/>
      <c r="F4" s="441"/>
      <c r="G4" s="441"/>
      <c r="H4" s="441"/>
      <c r="I4" s="441"/>
      <c r="J4" s="441"/>
      <c r="K4" s="441"/>
      <c r="L4" s="441"/>
      <c r="M4" s="441"/>
      <c r="N4" s="441"/>
      <c r="O4" s="441"/>
      <c r="P4" s="441"/>
      <c r="Q4" s="441"/>
      <c r="R4" s="441"/>
      <c r="S4" s="442"/>
      <c r="T4" s="244"/>
      <c r="U4" s="244"/>
      <c r="V4" s="244"/>
      <c r="W4" s="244"/>
    </row>
    <row r="5" spans="1:25">
      <c r="A5" s="252" t="s">
        <v>677</v>
      </c>
      <c r="B5" s="440"/>
      <c r="C5" s="441"/>
      <c r="D5" s="443"/>
      <c r="E5" s="443"/>
      <c r="F5" s="443"/>
      <c r="G5" s="443"/>
      <c r="H5" s="443"/>
      <c r="I5" s="443"/>
      <c r="J5" s="443"/>
      <c r="K5" s="443"/>
      <c r="L5" s="443"/>
      <c r="M5" s="443"/>
      <c r="N5" s="443"/>
      <c r="O5" s="443"/>
      <c r="P5" s="443"/>
      <c r="Q5" s="443"/>
      <c r="R5" s="443"/>
      <c r="S5" s="444"/>
      <c r="T5" s="244"/>
      <c r="U5" s="244"/>
      <c r="V5" s="244"/>
      <c r="W5" s="244"/>
    </row>
    <row r="6" spans="1:25">
      <c r="A6" s="253" t="s">
        <v>731</v>
      </c>
      <c r="B6" s="254"/>
      <c r="C6" s="254"/>
      <c r="D6" s="255"/>
      <c r="E6" s="256"/>
      <c r="F6" s="256"/>
      <c r="G6" s="256"/>
      <c r="H6" s="256"/>
      <c r="I6" s="256"/>
      <c r="J6" s="256"/>
      <c r="K6" s="256"/>
      <c r="L6" s="256"/>
      <c r="M6" s="256"/>
      <c r="N6" s="256"/>
      <c r="O6" s="256"/>
      <c r="P6" s="256"/>
      <c r="Q6" s="256"/>
      <c r="R6" s="256"/>
      <c r="S6" s="257"/>
      <c r="T6" s="244"/>
      <c r="U6" s="244"/>
      <c r="V6" s="244"/>
      <c r="W6" s="244"/>
    </row>
    <row r="7" spans="1:25">
      <c r="B7" s="258" t="s">
        <v>732</v>
      </c>
      <c r="C7" s="259" t="s">
        <v>75</v>
      </c>
      <c r="D7" s="259" t="s">
        <v>733</v>
      </c>
    </row>
    <row r="8" spans="1:25">
      <c r="B8" s="258" t="s">
        <v>678</v>
      </c>
      <c r="C8" s="259" t="str">
        <f>[2]MLIST!$D$69</f>
        <v>Street and Roadway Lighting-NR</v>
      </c>
      <c r="D8" s="259" t="s">
        <v>734</v>
      </c>
      <c r="E8" s="260"/>
    </row>
    <row r="9" spans="1:25">
      <c r="B9" s="261" t="s">
        <v>679</v>
      </c>
      <c r="C9" s="259">
        <f>[2]FILES!$H$4</f>
        <v>2035</v>
      </c>
      <c r="D9" s="259"/>
      <c r="E9" s="262"/>
    </row>
    <row r="10" spans="1:25">
      <c r="E10" s="11">
        <v>1</v>
      </c>
      <c r="F10" s="11">
        <f>E10+1</f>
        <v>2</v>
      </c>
      <c r="G10" s="11">
        <f t="shared" ref="G10:V11" si="0">F10+1</f>
        <v>3</v>
      </c>
      <c r="H10" s="11">
        <f t="shared" si="0"/>
        <v>4</v>
      </c>
      <c r="I10" s="11">
        <f t="shared" si="0"/>
        <v>5</v>
      </c>
      <c r="J10" s="11">
        <f t="shared" si="0"/>
        <v>6</v>
      </c>
      <c r="K10" s="11">
        <f t="shared" si="0"/>
        <v>7</v>
      </c>
      <c r="L10" s="11">
        <f t="shared" si="0"/>
        <v>8</v>
      </c>
      <c r="M10" s="11">
        <f t="shared" si="0"/>
        <v>9</v>
      </c>
      <c r="N10" s="11">
        <f t="shared" si="0"/>
        <v>10</v>
      </c>
      <c r="O10" s="11">
        <f t="shared" si="0"/>
        <v>11</v>
      </c>
      <c r="P10" s="11">
        <f t="shared" si="0"/>
        <v>12</v>
      </c>
      <c r="Q10" s="11">
        <f t="shared" si="0"/>
        <v>13</v>
      </c>
      <c r="R10" s="11">
        <f t="shared" si="0"/>
        <v>14</v>
      </c>
      <c r="S10" s="11">
        <f t="shared" si="0"/>
        <v>15</v>
      </c>
      <c r="T10" s="11">
        <f t="shared" si="0"/>
        <v>16</v>
      </c>
      <c r="U10" s="11">
        <f t="shared" si="0"/>
        <v>17</v>
      </c>
      <c r="V10" s="11">
        <f t="shared" si="0"/>
        <v>18</v>
      </c>
      <c r="W10" s="11">
        <f t="shared" ref="W10:X11" si="1">V10+1</f>
        <v>19</v>
      </c>
      <c r="X10" s="11">
        <f t="shared" si="1"/>
        <v>20</v>
      </c>
    </row>
    <row r="11" spans="1:25" ht="15">
      <c r="A11" s="421" t="s">
        <v>980</v>
      </c>
      <c r="B11" s="258"/>
      <c r="C11" s="258" t="str">
        <f>C8</f>
        <v>Street and Roadway Lighting-NR</v>
      </c>
      <c r="D11" s="258"/>
      <c r="E11" s="258">
        <f>C9-20+1</f>
        <v>2016</v>
      </c>
      <c r="F11" s="258">
        <f>E11+1</f>
        <v>2017</v>
      </c>
      <c r="G11" s="258">
        <f t="shared" si="0"/>
        <v>2018</v>
      </c>
      <c r="H11" s="258">
        <f t="shared" si="0"/>
        <v>2019</v>
      </c>
      <c r="I11" s="258">
        <f t="shared" si="0"/>
        <v>2020</v>
      </c>
      <c r="J11" s="258">
        <f t="shared" si="0"/>
        <v>2021</v>
      </c>
      <c r="K11" s="258">
        <f t="shared" si="0"/>
        <v>2022</v>
      </c>
      <c r="L11" s="258">
        <f t="shared" si="0"/>
        <v>2023</v>
      </c>
      <c r="M11" s="258">
        <f t="shared" si="0"/>
        <v>2024</v>
      </c>
      <c r="N11" s="258">
        <f t="shared" si="0"/>
        <v>2025</v>
      </c>
      <c r="O11" s="258">
        <f t="shared" si="0"/>
        <v>2026</v>
      </c>
      <c r="P11" s="258">
        <f t="shared" si="0"/>
        <v>2027</v>
      </c>
      <c r="Q11" s="258">
        <f t="shared" si="0"/>
        <v>2028</v>
      </c>
      <c r="R11" s="258">
        <f t="shared" si="0"/>
        <v>2029</v>
      </c>
      <c r="S11" s="258">
        <f t="shared" si="0"/>
        <v>2030</v>
      </c>
      <c r="T11" s="258">
        <f t="shared" si="0"/>
        <v>2031</v>
      </c>
      <c r="U11" s="258">
        <f t="shared" si="0"/>
        <v>2032</v>
      </c>
      <c r="V11" s="258">
        <f t="shared" si="0"/>
        <v>2033</v>
      </c>
      <c r="W11" s="258">
        <f t="shared" si="1"/>
        <v>2034</v>
      </c>
      <c r="X11" s="258">
        <f t="shared" si="1"/>
        <v>2035</v>
      </c>
      <c r="Y11" s="410" t="s">
        <v>996</v>
      </c>
    </row>
    <row r="12" spans="1:25">
      <c r="A12" s="258"/>
      <c r="B12" s="258"/>
      <c r="C12" s="270" t="s">
        <v>680</v>
      </c>
      <c r="D12" s="258"/>
      <c r="E12" s="258" t="str">
        <f>CONCATENATE("POP_",E11)</f>
        <v>POP_2016</v>
      </c>
      <c r="F12" s="258" t="str">
        <f t="shared" ref="F12:X12" si="2">CONCATENATE("POP_",F11)</f>
        <v>POP_2017</v>
      </c>
      <c r="G12" s="258" t="str">
        <f t="shared" si="2"/>
        <v>POP_2018</v>
      </c>
      <c r="H12" s="258" t="str">
        <f t="shared" si="2"/>
        <v>POP_2019</v>
      </c>
      <c r="I12" s="258" t="str">
        <f t="shared" si="2"/>
        <v>POP_2020</v>
      </c>
      <c r="J12" s="258" t="str">
        <f t="shared" si="2"/>
        <v>POP_2021</v>
      </c>
      <c r="K12" s="258" t="str">
        <f t="shared" si="2"/>
        <v>POP_2022</v>
      </c>
      <c r="L12" s="258" t="str">
        <f t="shared" si="2"/>
        <v>POP_2023</v>
      </c>
      <c r="M12" s="258" t="str">
        <f t="shared" si="2"/>
        <v>POP_2024</v>
      </c>
      <c r="N12" s="258" t="str">
        <f t="shared" si="2"/>
        <v>POP_2025</v>
      </c>
      <c r="O12" s="258" t="str">
        <f t="shared" si="2"/>
        <v>POP_2026</v>
      </c>
      <c r="P12" s="258" t="str">
        <f t="shared" si="2"/>
        <v>POP_2027</v>
      </c>
      <c r="Q12" s="258" t="str">
        <f t="shared" si="2"/>
        <v>POP_2028</v>
      </c>
      <c r="R12" s="258" t="str">
        <f t="shared" si="2"/>
        <v>POP_2029</v>
      </c>
      <c r="S12" s="258" t="str">
        <f t="shared" si="2"/>
        <v>POP_2030</v>
      </c>
      <c r="T12" s="258" t="str">
        <f t="shared" si="2"/>
        <v>POP_2031</v>
      </c>
      <c r="U12" s="258" t="str">
        <f t="shared" si="2"/>
        <v>POP_2032</v>
      </c>
      <c r="V12" s="258" t="str">
        <f t="shared" si="2"/>
        <v>POP_2033</v>
      </c>
      <c r="W12" s="258" t="str">
        <f t="shared" si="2"/>
        <v>POP_2034</v>
      </c>
      <c r="X12" s="258" t="str">
        <f t="shared" si="2"/>
        <v>POP_2035</v>
      </c>
      <c r="Y12" s="410" t="s">
        <v>996</v>
      </c>
    </row>
    <row r="13" spans="1:25">
      <c r="C13" s="11" t="s">
        <v>979</v>
      </c>
      <c r="D13" s="11" t="s">
        <v>983</v>
      </c>
      <c r="E13" s="265">
        <f>SatPen!$B$45</f>
        <v>780000</v>
      </c>
      <c r="F13" s="265">
        <f>E13</f>
        <v>780000</v>
      </c>
      <c r="G13" s="265">
        <f t="shared" ref="G13:X13" si="3">F13</f>
        <v>780000</v>
      </c>
      <c r="H13" s="265">
        <f t="shared" si="3"/>
        <v>780000</v>
      </c>
      <c r="I13" s="265">
        <f t="shared" si="3"/>
        <v>780000</v>
      </c>
      <c r="J13" s="265">
        <f t="shared" si="3"/>
        <v>780000</v>
      </c>
      <c r="K13" s="265">
        <f t="shared" si="3"/>
        <v>780000</v>
      </c>
      <c r="L13" s="265">
        <f t="shared" si="3"/>
        <v>780000</v>
      </c>
      <c r="M13" s="265">
        <f t="shared" si="3"/>
        <v>780000</v>
      </c>
      <c r="N13" s="265">
        <f t="shared" si="3"/>
        <v>780000</v>
      </c>
      <c r="O13" s="265">
        <f t="shared" si="3"/>
        <v>780000</v>
      </c>
      <c r="P13" s="265">
        <f t="shared" si="3"/>
        <v>780000</v>
      </c>
      <c r="Q13" s="265">
        <f t="shared" si="3"/>
        <v>780000</v>
      </c>
      <c r="R13" s="265">
        <f t="shared" si="3"/>
        <v>780000</v>
      </c>
      <c r="S13" s="265">
        <f t="shared" si="3"/>
        <v>780000</v>
      </c>
      <c r="T13" s="265">
        <f t="shared" si="3"/>
        <v>780000</v>
      </c>
      <c r="U13" s="265">
        <f t="shared" si="3"/>
        <v>780000</v>
      </c>
      <c r="V13" s="265">
        <f t="shared" si="3"/>
        <v>780000</v>
      </c>
      <c r="W13" s="265">
        <f t="shared" si="3"/>
        <v>780000</v>
      </c>
      <c r="X13" s="265">
        <f t="shared" si="3"/>
        <v>780000</v>
      </c>
      <c r="Y13" s="265">
        <f>X13</f>
        <v>780000</v>
      </c>
    </row>
    <row r="14" spans="1:25">
      <c r="D14" s="166"/>
      <c r="E14" s="265"/>
      <c r="F14" s="265"/>
      <c r="G14" s="265"/>
      <c r="H14" s="265"/>
      <c r="I14" s="265"/>
      <c r="J14" s="265"/>
      <c r="K14" s="265"/>
      <c r="L14" s="265"/>
      <c r="M14" s="265"/>
      <c r="N14" s="265"/>
      <c r="O14" s="265"/>
      <c r="P14" s="265"/>
      <c r="Q14" s="265"/>
      <c r="R14" s="265"/>
      <c r="S14" s="265"/>
      <c r="T14" s="265"/>
      <c r="U14" s="265"/>
      <c r="V14" s="265"/>
      <c r="W14" s="265"/>
      <c r="X14" s="265"/>
      <c r="Y14" s="265"/>
    </row>
    <row r="15" spans="1:25" ht="15">
      <c r="A15" s="421" t="s">
        <v>981</v>
      </c>
      <c r="B15" s="421"/>
      <c r="D15" s="166"/>
      <c r="E15" s="423">
        <v>1</v>
      </c>
      <c r="F15" s="423">
        <v>2</v>
      </c>
      <c r="G15" s="423">
        <v>3</v>
      </c>
      <c r="H15" s="423">
        <v>4</v>
      </c>
      <c r="I15" s="423">
        <v>5</v>
      </c>
      <c r="J15" s="423">
        <v>6</v>
      </c>
      <c r="K15" s="423">
        <v>7</v>
      </c>
      <c r="L15" s="423">
        <v>8</v>
      </c>
      <c r="M15" s="423">
        <v>9</v>
      </c>
      <c r="N15" s="423">
        <v>10</v>
      </c>
      <c r="O15" s="423">
        <v>11</v>
      </c>
      <c r="P15" s="423">
        <v>12</v>
      </c>
      <c r="Q15" s="423">
        <v>13</v>
      </c>
      <c r="R15" s="423">
        <v>14</v>
      </c>
      <c r="S15" s="423">
        <v>15</v>
      </c>
      <c r="T15" s="423">
        <v>16</v>
      </c>
      <c r="U15" s="423">
        <v>17</v>
      </c>
      <c r="V15" s="423">
        <v>18</v>
      </c>
      <c r="W15" s="423">
        <v>19</v>
      </c>
      <c r="X15" s="423">
        <v>20</v>
      </c>
      <c r="Y15" s="410" t="s">
        <v>996</v>
      </c>
    </row>
    <row r="16" spans="1:25">
      <c r="A16" s="270" t="s">
        <v>869</v>
      </c>
      <c r="B16" s="270">
        <f>1/VLOOKUP($C$11,[2]TURN!TURN,MATCH($C$12,[2]!BLDGTYPE,0),FALSE)</f>
        <v>5</v>
      </c>
      <c r="C16" s="11" t="s">
        <v>979</v>
      </c>
      <c r="D16" s="11" t="s">
        <v>983</v>
      </c>
      <c r="E16" s="265">
        <f>IF(E$15&lt;=$B$16,0,INDEX('SC-New'!$E$134:$X$135,2,'SC-NR'!E15-ROUND($B$16,0)))</f>
        <v>0</v>
      </c>
      <c r="F16" s="265">
        <f>IF(F$15&lt;=$B$16,0,INDEX('SC-New'!$E$134:$X$135,2,'SC-NR'!F15-ROUND($B$16,0)))</f>
        <v>0</v>
      </c>
      <c r="G16" s="265">
        <f>IF(G$15&lt;=$B$16,0,INDEX('SC-New'!$E$134:$X$135,2,'SC-NR'!G15-ROUND($B$16,0)))</f>
        <v>0</v>
      </c>
      <c r="H16" s="265">
        <f>IF(H$15&lt;=$B$16,0,INDEX('SC-New'!$E$134:$X$135,2,'SC-NR'!H15-ROUND($B$16,0)))</f>
        <v>0</v>
      </c>
      <c r="I16" s="265">
        <f>IF(I$15&lt;=$B$16,0,INDEX('SC-New'!$E$134:$X$135,2,'SC-NR'!I15-ROUND($B$16,0)))</f>
        <v>0</v>
      </c>
      <c r="J16" s="265">
        <f>IF(J$15&lt;=$B$16,0,INDEX('SC-New'!$E$134:$X$135,2,'SC-NR'!J15-ROUND($B$16,0)))</f>
        <v>2692.8312370516846</v>
      </c>
      <c r="K16" s="265">
        <f>IF(K$15&lt;=$B$16,0,INDEX('SC-New'!$E$134:$X$135,2,'SC-NR'!K15-ROUND($B$16,0)))</f>
        <v>2013.188975889123</v>
      </c>
      <c r="L16" s="265">
        <f>IF(L$15&lt;=$B$16,0,INDEX('SC-New'!$E$134:$X$135,2,'SC-NR'!L15-ROUND($B$16,0)))</f>
        <v>1513.0296345627112</v>
      </c>
      <c r="M16" s="265">
        <f>IF(M$15&lt;=$B$16,0,INDEX('SC-New'!$E$134:$X$135,2,'SC-NR'!M15-ROUND($B$16,0)))</f>
        <v>1183.6027122900596</v>
      </c>
      <c r="N16" s="265">
        <f>IF(N$15&lt;=$B$16,0,INDEX('SC-New'!$E$134:$X$135,2,'SC-NR'!N15-ROUND($B$16,0)))</f>
        <v>993.31763571130068</v>
      </c>
      <c r="O16" s="265">
        <f>IF(O$15&lt;=$B$16,0,INDEX('SC-New'!$E$134:$X$135,2,'SC-NR'!O15-ROUND($B$16,0)))</f>
        <v>889.75714961123413</v>
      </c>
      <c r="P16" s="265">
        <f>IF(P$15&lt;=$B$16,0,INDEX('SC-New'!$E$134:$X$135,2,'SC-NR'!P15-ROUND($B$16,0)))</f>
        <v>834.21564230971035</v>
      </c>
      <c r="Q16" s="265">
        <f>IF(Q$15&lt;=$B$16,0,INDEX('SC-New'!$E$134:$X$135,2,'SC-NR'!Q15-ROUND($B$16,0)))</f>
        <v>801.97140290999778</v>
      </c>
      <c r="R16" s="265">
        <f>IF(R$15&lt;=$B$16,0,INDEX('SC-New'!$E$134:$X$135,2,'SC-NR'!R15-ROUND($B$16,0)))</f>
        <v>780.57535501860548</v>
      </c>
      <c r="S16" s="265">
        <f>IF(S$15&lt;=$B$16,0,INDEX('SC-New'!$E$134:$X$135,2,'SC-NR'!S15-ROUND($B$16,0)))</f>
        <v>765.36817598163634</v>
      </c>
      <c r="T16" s="265">
        <f>IF(T$15&lt;=$B$16,0,INDEX('SC-New'!$E$134:$X$135,2,'SC-NR'!T15-ROUND($B$16,0)))</f>
        <v>754.04776538103579</v>
      </c>
      <c r="U16" s="265">
        <f>IF(U$15&lt;=$B$16,0,INDEX('SC-New'!$E$134:$X$135,2,'SC-NR'!U15-ROUND($B$16,0)))</f>
        <v>745.83869395490001</v>
      </c>
      <c r="V16" s="265">
        <f>IF(V$15&lt;=$B$16,0,INDEX('SC-New'!$E$134:$X$135,2,'SC-NR'!V15-ROUND($B$16,0)))</f>
        <v>738.87881815368655</v>
      </c>
      <c r="W16" s="265">
        <f>IF(W$15&lt;=$B$16,0,INDEX('SC-New'!$E$134:$X$135,2,'SC-NR'!W15-ROUND($B$16,0)))</f>
        <v>732.00947652184368</v>
      </c>
      <c r="X16" s="265">
        <f>IF(X$15&lt;=$B$16,0,INDEX('SC-New'!$E$134:$X$135,2,'SC-NR'!X15-ROUND($B$16,0)))</f>
        <v>725.53356629332939</v>
      </c>
      <c r="Y16" s="265">
        <f>SUM(E16:X16)</f>
        <v>16164.166241640862</v>
      </c>
    </row>
    <row r="17" spans="1:26" ht="13.5" thickBot="1">
      <c r="D17" s="166"/>
      <c r="E17" s="265"/>
      <c r="F17" s="265"/>
      <c r="G17" s="265"/>
      <c r="H17" s="265"/>
      <c r="I17" s="265"/>
      <c r="J17" s="265"/>
      <c r="K17" s="265"/>
      <c r="L17" s="265"/>
      <c r="M17" s="265"/>
      <c r="N17" s="265"/>
      <c r="O17" s="265"/>
      <c r="P17" s="265"/>
      <c r="Q17" s="265"/>
      <c r="R17" s="265"/>
      <c r="S17" s="265"/>
      <c r="T17" s="265"/>
      <c r="U17" s="265"/>
      <c r="V17" s="265"/>
      <c r="W17" s="265"/>
      <c r="X17" s="265"/>
      <c r="Y17" s="265"/>
    </row>
    <row r="18" spans="1:26" ht="14.25" thickTop="1" thickBot="1">
      <c r="D18" s="166"/>
      <c r="E18" s="265"/>
      <c r="F18" s="265"/>
      <c r="G18" s="265"/>
      <c r="H18" s="265"/>
      <c r="I18" s="265"/>
      <c r="J18" s="265"/>
      <c r="K18" s="265"/>
      <c r="L18" s="265"/>
      <c r="M18" s="265"/>
      <c r="N18" s="265"/>
      <c r="O18" s="265"/>
      <c r="P18" s="265"/>
      <c r="Q18" s="265"/>
      <c r="R18" s="265"/>
      <c r="S18" s="265"/>
      <c r="T18" s="265"/>
      <c r="U18" s="265"/>
      <c r="V18" s="265"/>
      <c r="W18" s="265"/>
      <c r="X18" s="265"/>
      <c r="Z18" s="429">
        <v>0.85</v>
      </c>
    </row>
    <row r="19" spans="1:26" ht="15.75" thickTop="1">
      <c r="A19" s="421" t="s">
        <v>982</v>
      </c>
      <c r="B19" s="421"/>
      <c r="D19" s="166"/>
      <c r="E19" s="258">
        <f>E11</f>
        <v>2016</v>
      </c>
      <c r="F19" s="258">
        <f t="shared" ref="F19:X19" si="4">F11</f>
        <v>2017</v>
      </c>
      <c r="G19" s="258">
        <f t="shared" si="4"/>
        <v>2018</v>
      </c>
      <c r="H19" s="258">
        <f t="shared" si="4"/>
        <v>2019</v>
      </c>
      <c r="I19" s="258">
        <f t="shared" si="4"/>
        <v>2020</v>
      </c>
      <c r="J19" s="258">
        <f t="shared" si="4"/>
        <v>2021</v>
      </c>
      <c r="K19" s="258">
        <f t="shared" si="4"/>
        <v>2022</v>
      </c>
      <c r="L19" s="258">
        <f t="shared" si="4"/>
        <v>2023</v>
      </c>
      <c r="M19" s="258">
        <f t="shared" si="4"/>
        <v>2024</v>
      </c>
      <c r="N19" s="258">
        <f t="shared" si="4"/>
        <v>2025</v>
      </c>
      <c r="O19" s="258">
        <f t="shared" si="4"/>
        <v>2026</v>
      </c>
      <c r="P19" s="258">
        <f t="shared" si="4"/>
        <v>2027</v>
      </c>
      <c r="Q19" s="258">
        <f t="shared" si="4"/>
        <v>2028</v>
      </c>
      <c r="R19" s="258">
        <f t="shared" si="4"/>
        <v>2029</v>
      </c>
      <c r="S19" s="258">
        <f t="shared" si="4"/>
        <v>2030</v>
      </c>
      <c r="T19" s="258">
        <f t="shared" si="4"/>
        <v>2031</v>
      </c>
      <c r="U19" s="258">
        <f t="shared" si="4"/>
        <v>2032</v>
      </c>
      <c r="V19" s="258">
        <f t="shared" si="4"/>
        <v>2033</v>
      </c>
      <c r="W19" s="258">
        <f t="shared" si="4"/>
        <v>2034</v>
      </c>
      <c r="X19" s="258">
        <f t="shared" si="4"/>
        <v>2035</v>
      </c>
      <c r="Y19" s="410" t="s">
        <v>996</v>
      </c>
      <c r="Z19" s="410" t="s">
        <v>777</v>
      </c>
    </row>
    <row r="20" spans="1:26">
      <c r="C20" s="11" t="s">
        <v>988</v>
      </c>
      <c r="D20" s="166"/>
      <c r="E20" s="265">
        <f t="shared" ref="E20:X20" si="5">SUM(E13,E16)</f>
        <v>780000</v>
      </c>
      <c r="F20" s="265">
        <f t="shared" si="5"/>
        <v>780000</v>
      </c>
      <c r="G20" s="265">
        <f t="shared" si="5"/>
        <v>780000</v>
      </c>
      <c r="H20" s="265">
        <f t="shared" si="5"/>
        <v>780000</v>
      </c>
      <c r="I20" s="265">
        <f t="shared" si="5"/>
        <v>780000</v>
      </c>
      <c r="J20" s="265">
        <f t="shared" si="5"/>
        <v>782692.83123705164</v>
      </c>
      <c r="K20" s="265">
        <f t="shared" si="5"/>
        <v>782013.18897588912</v>
      </c>
      <c r="L20" s="265">
        <f t="shared" si="5"/>
        <v>781513.02963456267</v>
      </c>
      <c r="M20" s="265">
        <f t="shared" si="5"/>
        <v>781183.60271229001</v>
      </c>
      <c r="N20" s="265">
        <f t="shared" si="5"/>
        <v>780993.31763571128</v>
      </c>
      <c r="O20" s="265">
        <f t="shared" si="5"/>
        <v>780889.75714961125</v>
      </c>
      <c r="P20" s="265">
        <f t="shared" si="5"/>
        <v>780834.21564230975</v>
      </c>
      <c r="Q20" s="265">
        <f t="shared" si="5"/>
        <v>780801.97140290996</v>
      </c>
      <c r="R20" s="265">
        <f t="shared" si="5"/>
        <v>780780.57535501861</v>
      </c>
      <c r="S20" s="265">
        <f t="shared" si="5"/>
        <v>780765.36817598168</v>
      </c>
      <c r="T20" s="265">
        <f t="shared" si="5"/>
        <v>780754.04776538105</v>
      </c>
      <c r="U20" s="265">
        <f t="shared" si="5"/>
        <v>780745.83869395487</v>
      </c>
      <c r="V20" s="265">
        <f t="shared" si="5"/>
        <v>780738.87881815364</v>
      </c>
      <c r="W20" s="265">
        <f t="shared" si="5"/>
        <v>780732.00947652187</v>
      </c>
      <c r="X20" s="265">
        <f t="shared" si="5"/>
        <v>780725.53356629331</v>
      </c>
      <c r="Y20" s="265"/>
    </row>
    <row r="21" spans="1:26">
      <c r="C21" s="11" t="s">
        <v>989</v>
      </c>
      <c r="D21" s="166"/>
      <c r="E21" s="265">
        <f>E20</f>
        <v>780000</v>
      </c>
      <c r="F21" s="265">
        <f>E21+F16</f>
        <v>780000</v>
      </c>
      <c r="G21" s="265">
        <f t="shared" ref="G21:X21" si="6">F21+G16</f>
        <v>780000</v>
      </c>
      <c r="H21" s="265">
        <f t="shared" si="6"/>
        <v>780000</v>
      </c>
      <c r="I21" s="265">
        <f t="shared" si="6"/>
        <v>780000</v>
      </c>
      <c r="J21" s="265">
        <f t="shared" si="6"/>
        <v>782692.83123705164</v>
      </c>
      <c r="K21" s="265">
        <f t="shared" si="6"/>
        <v>784706.02021294076</v>
      </c>
      <c r="L21" s="265">
        <f t="shared" si="6"/>
        <v>786219.04984750343</v>
      </c>
      <c r="M21" s="265">
        <f t="shared" si="6"/>
        <v>787402.65255979344</v>
      </c>
      <c r="N21" s="265">
        <f t="shared" si="6"/>
        <v>788395.97019550472</v>
      </c>
      <c r="O21" s="265">
        <f t="shared" si="6"/>
        <v>789285.72734511597</v>
      </c>
      <c r="P21" s="265">
        <f t="shared" si="6"/>
        <v>790119.94298742572</v>
      </c>
      <c r="Q21" s="265">
        <f t="shared" si="6"/>
        <v>790921.91439033567</v>
      </c>
      <c r="R21" s="265">
        <f t="shared" si="6"/>
        <v>791702.48974535428</v>
      </c>
      <c r="S21" s="265">
        <f t="shared" si="6"/>
        <v>792467.85792133596</v>
      </c>
      <c r="T21" s="265">
        <f t="shared" si="6"/>
        <v>793221.90568671701</v>
      </c>
      <c r="U21" s="265">
        <f t="shared" si="6"/>
        <v>793967.74438067188</v>
      </c>
      <c r="V21" s="265">
        <f t="shared" si="6"/>
        <v>794706.62319882552</v>
      </c>
      <c r="W21" s="265">
        <f t="shared" si="6"/>
        <v>795438.63267534738</v>
      </c>
      <c r="X21" s="265">
        <f t="shared" si="6"/>
        <v>796164.16624164069</v>
      </c>
      <c r="Y21" s="430">
        <f>SUM(Y13,Y16)</f>
        <v>796164.16624164081</v>
      </c>
      <c r="Z21" s="412">
        <f>$Z$18*Y21</f>
        <v>676739.54130539461</v>
      </c>
    </row>
    <row r="22" spans="1:26">
      <c r="D22" s="166"/>
      <c r="E22" s="265"/>
      <c r="F22" s="265"/>
      <c r="G22" s="265"/>
      <c r="H22" s="265"/>
      <c r="I22" s="265"/>
      <c r="J22" s="265"/>
      <c r="K22" s="265"/>
      <c r="L22" s="265"/>
      <c r="M22" s="265"/>
      <c r="N22" s="265"/>
      <c r="O22" s="265"/>
      <c r="P22" s="265"/>
      <c r="Q22" s="265"/>
      <c r="R22" s="265"/>
      <c r="S22" s="265"/>
      <c r="T22" s="265"/>
      <c r="U22" s="265"/>
      <c r="V22" s="265"/>
      <c r="W22" s="265"/>
      <c r="X22" s="265"/>
    </row>
    <row r="23" spans="1:26">
      <c r="D23" s="166"/>
      <c r="E23" s="265"/>
      <c r="F23" s="265"/>
      <c r="G23" s="265"/>
      <c r="H23" s="265"/>
      <c r="I23" s="265"/>
      <c r="J23" s="265"/>
      <c r="K23" s="265"/>
      <c r="L23" s="265"/>
      <c r="M23" s="265"/>
      <c r="N23" s="265"/>
      <c r="O23" s="265"/>
      <c r="P23" s="265"/>
      <c r="Q23" s="265"/>
      <c r="R23" s="265"/>
      <c r="S23" s="265"/>
      <c r="T23" s="265"/>
      <c r="U23" s="265"/>
      <c r="V23" s="265"/>
      <c r="W23" s="265"/>
      <c r="X23" s="265"/>
      <c r="Y23" s="265"/>
    </row>
    <row r="24" spans="1:26">
      <c r="E24" s="265"/>
      <c r="F24" s="265"/>
      <c r="G24" s="265"/>
      <c r="H24" s="265"/>
      <c r="I24" s="265"/>
      <c r="J24" s="265"/>
      <c r="K24" s="265"/>
      <c r="L24" s="265"/>
      <c r="M24" s="265"/>
      <c r="N24" s="265"/>
      <c r="O24" s="265"/>
      <c r="P24" s="265"/>
      <c r="Q24" s="265"/>
      <c r="R24" s="265"/>
      <c r="S24" s="265"/>
      <c r="T24" s="265"/>
      <c r="U24" s="265"/>
      <c r="V24" s="265"/>
      <c r="W24" s="265"/>
      <c r="X24" s="265"/>
    </row>
    <row r="25" spans="1:26">
      <c r="E25" s="265"/>
      <c r="F25" s="265"/>
      <c r="G25" s="265"/>
      <c r="H25" s="265"/>
      <c r="I25" s="265"/>
      <c r="J25" s="265"/>
      <c r="K25" s="265"/>
      <c r="L25" s="265"/>
      <c r="M25" s="265"/>
      <c r="N25" s="265"/>
      <c r="O25" s="265"/>
      <c r="P25" s="265"/>
      <c r="Q25" s="265"/>
      <c r="R25" s="265"/>
      <c r="S25" s="265"/>
      <c r="T25" s="265"/>
      <c r="U25" s="265"/>
      <c r="V25" s="265"/>
      <c r="W25" s="265"/>
      <c r="X25" s="265"/>
      <c r="Y25" s="265"/>
    </row>
    <row r="26" spans="1:26" ht="15">
      <c r="A26" s="424" t="s">
        <v>984</v>
      </c>
      <c r="B26" s="424"/>
      <c r="D26" s="11" t="s">
        <v>994</v>
      </c>
      <c r="E26" s="265"/>
      <c r="F26" s="265"/>
      <c r="G26" s="265"/>
      <c r="H26" s="265"/>
      <c r="I26" s="265"/>
      <c r="J26" s="265"/>
      <c r="K26" s="265"/>
      <c r="L26" s="265"/>
      <c r="M26" s="265"/>
      <c r="N26" s="265"/>
      <c r="O26" s="265"/>
      <c r="P26" s="265"/>
      <c r="Q26" s="265"/>
      <c r="R26" s="265"/>
      <c r="S26" s="265"/>
      <c r="T26" s="265"/>
      <c r="U26" s="265"/>
      <c r="V26" s="265"/>
      <c r="W26" s="265"/>
      <c r="X26" s="265"/>
    </row>
    <row r="27" spans="1:26" ht="15">
      <c r="A27" s="406" t="s">
        <v>985</v>
      </c>
      <c r="B27" s="406" t="s">
        <v>986</v>
      </c>
      <c r="C27" s="406" t="s">
        <v>681</v>
      </c>
      <c r="D27" s="406" t="str">
        <f>$C$11</f>
        <v>Street and Roadway Lighting-NR</v>
      </c>
      <c r="E27" s="425">
        <f>E11</f>
        <v>2016</v>
      </c>
      <c r="F27" s="425">
        <f t="shared" ref="F27:X27" si="7">F11</f>
        <v>2017</v>
      </c>
      <c r="G27" s="425">
        <f t="shared" si="7"/>
        <v>2018</v>
      </c>
      <c r="H27" s="425">
        <f t="shared" si="7"/>
        <v>2019</v>
      </c>
      <c r="I27" s="425">
        <f t="shared" si="7"/>
        <v>2020</v>
      </c>
      <c r="J27" s="425">
        <f t="shared" si="7"/>
        <v>2021</v>
      </c>
      <c r="K27" s="425">
        <f t="shared" si="7"/>
        <v>2022</v>
      </c>
      <c r="L27" s="425">
        <f t="shared" si="7"/>
        <v>2023</v>
      </c>
      <c r="M27" s="425">
        <f t="shared" si="7"/>
        <v>2024</v>
      </c>
      <c r="N27" s="425">
        <f t="shared" si="7"/>
        <v>2025</v>
      </c>
      <c r="O27" s="425">
        <f t="shared" si="7"/>
        <v>2026</v>
      </c>
      <c r="P27" s="425">
        <f t="shared" si="7"/>
        <v>2027</v>
      </c>
      <c r="Q27" s="425">
        <f t="shared" si="7"/>
        <v>2028</v>
      </c>
      <c r="R27" s="425">
        <f t="shared" si="7"/>
        <v>2029</v>
      </c>
      <c r="S27" s="425">
        <f t="shared" si="7"/>
        <v>2030</v>
      </c>
      <c r="T27" s="425">
        <f t="shared" si="7"/>
        <v>2031</v>
      </c>
      <c r="U27" s="425">
        <f t="shared" si="7"/>
        <v>2032</v>
      </c>
      <c r="V27" s="425">
        <f t="shared" si="7"/>
        <v>2033</v>
      </c>
      <c r="W27" s="425">
        <f t="shared" si="7"/>
        <v>2034</v>
      </c>
      <c r="X27" s="425">
        <f t="shared" si="7"/>
        <v>2035</v>
      </c>
      <c r="Y27" s="410" t="s">
        <v>996</v>
      </c>
      <c r="Z27" s="410" t="s">
        <v>777</v>
      </c>
    </row>
    <row r="28" spans="1:26">
      <c r="A28" s="426">
        <f>VLOOKUP($C$8,[2]!APPLIC,MATCH($C$12,[2]!BLDGTYPE,0),FALSE)</f>
        <v>1</v>
      </c>
      <c r="B28" s="427">
        <f>VLOOKUP(D28,WattClass,2,FALSE)</f>
        <v>0.54</v>
      </c>
      <c r="C28" s="427">
        <f>1/VLOOKUP('SC-NR'!D28,MMap!$A$12:$AU$36,15,FALSE)</f>
        <v>0.2</v>
      </c>
      <c r="D28" s="34" t="s">
        <v>669</v>
      </c>
      <c r="E28" s="245">
        <f>E$13*$C28*$B28*$A28</f>
        <v>84240</v>
      </c>
      <c r="F28" s="245">
        <f t="shared" ref="F28:X32" si="8">F$13*$C28*$B28*$A28</f>
        <v>84240</v>
      </c>
      <c r="G28" s="245">
        <f t="shared" si="8"/>
        <v>84240</v>
      </c>
      <c r="H28" s="245">
        <f t="shared" si="8"/>
        <v>84240</v>
      </c>
      <c r="I28" s="245">
        <f t="shared" si="8"/>
        <v>84240</v>
      </c>
      <c r="J28" s="245">
        <f t="shared" si="8"/>
        <v>84240</v>
      </c>
      <c r="K28" s="245">
        <f t="shared" si="8"/>
        <v>84240</v>
      </c>
      <c r="L28" s="245">
        <f t="shared" si="8"/>
        <v>84240</v>
      </c>
      <c r="M28" s="245">
        <f t="shared" si="8"/>
        <v>84240</v>
      </c>
      <c r="N28" s="245">
        <f t="shared" si="8"/>
        <v>84240</v>
      </c>
      <c r="O28" s="245">
        <f t="shared" si="8"/>
        <v>84240</v>
      </c>
      <c r="P28" s="245">
        <f t="shared" si="8"/>
        <v>84240</v>
      </c>
      <c r="Q28" s="245">
        <f t="shared" si="8"/>
        <v>84240</v>
      </c>
      <c r="R28" s="245">
        <f t="shared" si="8"/>
        <v>84240</v>
      </c>
      <c r="S28" s="245">
        <f t="shared" si="8"/>
        <v>84240</v>
      </c>
      <c r="T28" s="245">
        <f t="shared" si="8"/>
        <v>84240</v>
      </c>
      <c r="U28" s="245">
        <f t="shared" si="8"/>
        <v>84240</v>
      </c>
      <c r="V28" s="245">
        <f t="shared" si="8"/>
        <v>84240</v>
      </c>
      <c r="W28" s="245">
        <f t="shared" si="8"/>
        <v>84240</v>
      </c>
      <c r="X28" s="245">
        <f t="shared" si="8"/>
        <v>84240</v>
      </c>
      <c r="Y28" s="412">
        <f>$Y$13*B28</f>
        <v>421200</v>
      </c>
      <c r="Z28" s="430">
        <f>Y28*$Z$18</f>
        <v>358020</v>
      </c>
    </row>
    <row r="29" spans="1:26">
      <c r="A29" s="426">
        <f>VLOOKUP($C$8,[2]!APPLIC,MATCH($C$12,[2]!BLDGTYPE,0),FALSE)</f>
        <v>1</v>
      </c>
      <c r="B29" s="427">
        <f>VLOOKUP(D29,WattClass,2,FALSE)</f>
        <v>0.13100000000000001</v>
      </c>
      <c r="C29" s="427">
        <f>1/VLOOKUP('SC-NR'!D29,MMap!$A$12:$AU$36,15,FALSE)</f>
        <v>0.2</v>
      </c>
      <c r="D29" s="34" t="s">
        <v>670</v>
      </c>
      <c r="E29" s="245">
        <f t="shared" ref="E29:T32" si="9">E$13*$C29*$B29*$A29</f>
        <v>20436</v>
      </c>
      <c r="F29" s="245">
        <f t="shared" si="9"/>
        <v>20436</v>
      </c>
      <c r="G29" s="245">
        <f t="shared" si="9"/>
        <v>20436</v>
      </c>
      <c r="H29" s="245">
        <f t="shared" si="9"/>
        <v>20436</v>
      </c>
      <c r="I29" s="245">
        <f t="shared" si="9"/>
        <v>20436</v>
      </c>
      <c r="J29" s="245">
        <f t="shared" si="9"/>
        <v>20436</v>
      </c>
      <c r="K29" s="245">
        <f t="shared" si="9"/>
        <v>20436</v>
      </c>
      <c r="L29" s="245">
        <f t="shared" si="9"/>
        <v>20436</v>
      </c>
      <c r="M29" s="245">
        <f t="shared" si="9"/>
        <v>20436</v>
      </c>
      <c r="N29" s="245">
        <f t="shared" si="9"/>
        <v>20436</v>
      </c>
      <c r="O29" s="245">
        <f t="shared" si="9"/>
        <v>20436</v>
      </c>
      <c r="P29" s="245">
        <f t="shared" si="9"/>
        <v>20436</v>
      </c>
      <c r="Q29" s="245">
        <f t="shared" si="9"/>
        <v>20436</v>
      </c>
      <c r="R29" s="245">
        <f t="shared" si="9"/>
        <v>20436</v>
      </c>
      <c r="S29" s="245">
        <f t="shared" si="9"/>
        <v>20436</v>
      </c>
      <c r="T29" s="245">
        <f t="shared" si="9"/>
        <v>20436</v>
      </c>
      <c r="U29" s="245">
        <f t="shared" si="8"/>
        <v>20436</v>
      </c>
      <c r="V29" s="245">
        <f t="shared" si="8"/>
        <v>20436</v>
      </c>
      <c r="W29" s="245">
        <f t="shared" si="8"/>
        <v>20436</v>
      </c>
      <c r="X29" s="245">
        <f t="shared" si="8"/>
        <v>20436</v>
      </c>
      <c r="Y29" s="412">
        <f t="shared" ref="Y29:Y32" si="10">$Y$13*B29</f>
        <v>102180</v>
      </c>
      <c r="Z29" s="430">
        <f t="shared" ref="Z29:Z32" si="11">Y29*$Z$18</f>
        <v>86853</v>
      </c>
    </row>
    <row r="30" spans="1:26">
      <c r="A30" s="426">
        <f>VLOOKUP($C$8,[2]!APPLIC,MATCH($C$12,[2]!BLDGTYPE,0),FALSE)</f>
        <v>1</v>
      </c>
      <c r="B30" s="427">
        <f>VLOOKUP(D30,WattClass,2,FALSE)</f>
        <v>0.14000000000000001</v>
      </c>
      <c r="C30" s="427">
        <f>1/VLOOKUP('SC-NR'!D30,MMap!$A$12:$AU$36,15,FALSE)</f>
        <v>0.2</v>
      </c>
      <c r="D30" s="34" t="s">
        <v>671</v>
      </c>
      <c r="E30" s="245">
        <f t="shared" si="9"/>
        <v>21840.000000000004</v>
      </c>
      <c r="F30" s="245">
        <f t="shared" si="8"/>
        <v>21840.000000000004</v>
      </c>
      <c r="G30" s="245">
        <f t="shared" si="8"/>
        <v>21840.000000000004</v>
      </c>
      <c r="H30" s="245">
        <f t="shared" si="8"/>
        <v>21840.000000000004</v>
      </c>
      <c r="I30" s="245">
        <f t="shared" si="8"/>
        <v>21840.000000000004</v>
      </c>
      <c r="J30" s="245">
        <f t="shared" si="8"/>
        <v>21840.000000000004</v>
      </c>
      <c r="K30" s="245">
        <f t="shared" si="8"/>
        <v>21840.000000000004</v>
      </c>
      <c r="L30" s="245">
        <f t="shared" si="8"/>
        <v>21840.000000000004</v>
      </c>
      <c r="M30" s="245">
        <f t="shared" si="8"/>
        <v>21840.000000000004</v>
      </c>
      <c r="N30" s="245">
        <f t="shared" si="8"/>
        <v>21840.000000000004</v>
      </c>
      <c r="O30" s="245">
        <f t="shared" si="8"/>
        <v>21840.000000000004</v>
      </c>
      <c r="P30" s="245">
        <f t="shared" si="8"/>
        <v>21840.000000000004</v>
      </c>
      <c r="Q30" s="245">
        <f t="shared" si="8"/>
        <v>21840.000000000004</v>
      </c>
      <c r="R30" s="245">
        <f t="shared" si="8"/>
        <v>21840.000000000004</v>
      </c>
      <c r="S30" s="245">
        <f t="shared" si="8"/>
        <v>21840.000000000004</v>
      </c>
      <c r="T30" s="245">
        <f t="shared" si="8"/>
        <v>21840.000000000004</v>
      </c>
      <c r="U30" s="245">
        <f t="shared" si="8"/>
        <v>21840.000000000004</v>
      </c>
      <c r="V30" s="245">
        <f t="shared" si="8"/>
        <v>21840.000000000004</v>
      </c>
      <c r="W30" s="245">
        <f t="shared" si="8"/>
        <v>21840.000000000004</v>
      </c>
      <c r="X30" s="245">
        <f t="shared" si="8"/>
        <v>21840.000000000004</v>
      </c>
      <c r="Y30" s="412">
        <f t="shared" si="10"/>
        <v>109200.00000000001</v>
      </c>
      <c r="Z30" s="430">
        <f t="shared" si="11"/>
        <v>92820.000000000015</v>
      </c>
    </row>
    <row r="31" spans="1:26">
      <c r="A31" s="426">
        <f>VLOOKUP($C$8,[2]!APPLIC,MATCH($C$12,[2]!BLDGTYPE,0),FALSE)</f>
        <v>1</v>
      </c>
      <c r="B31" s="427">
        <f>VLOOKUP(D31,WattClass,2,FALSE)</f>
        <v>0.17499999999999999</v>
      </c>
      <c r="C31" s="427">
        <f>1/VLOOKUP('SC-NR'!D31,MMap!$A$12:$AU$36,15,FALSE)</f>
        <v>0.25</v>
      </c>
      <c r="D31" s="34" t="s">
        <v>672</v>
      </c>
      <c r="E31" s="245">
        <f t="shared" si="9"/>
        <v>34125</v>
      </c>
      <c r="F31" s="245">
        <f t="shared" si="8"/>
        <v>34125</v>
      </c>
      <c r="G31" s="245">
        <f t="shared" si="8"/>
        <v>34125</v>
      </c>
      <c r="H31" s="245">
        <f t="shared" si="8"/>
        <v>34125</v>
      </c>
      <c r="I31" s="245">
        <f t="shared" si="8"/>
        <v>34125</v>
      </c>
      <c r="J31" s="245">
        <f t="shared" si="8"/>
        <v>34125</v>
      </c>
      <c r="K31" s="245">
        <f t="shared" si="8"/>
        <v>34125</v>
      </c>
      <c r="L31" s="245">
        <f t="shared" si="8"/>
        <v>34125</v>
      </c>
      <c r="M31" s="245">
        <f t="shared" si="8"/>
        <v>34125</v>
      </c>
      <c r="N31" s="245">
        <f t="shared" si="8"/>
        <v>34125</v>
      </c>
      <c r="O31" s="245">
        <f t="shared" si="8"/>
        <v>34125</v>
      </c>
      <c r="P31" s="245">
        <f t="shared" si="8"/>
        <v>34125</v>
      </c>
      <c r="Q31" s="245">
        <f t="shared" si="8"/>
        <v>34125</v>
      </c>
      <c r="R31" s="245">
        <f t="shared" si="8"/>
        <v>34125</v>
      </c>
      <c r="S31" s="245">
        <f t="shared" si="8"/>
        <v>34125</v>
      </c>
      <c r="T31" s="245">
        <f t="shared" si="8"/>
        <v>34125</v>
      </c>
      <c r="U31" s="245">
        <f t="shared" si="8"/>
        <v>34125</v>
      </c>
      <c r="V31" s="245">
        <f t="shared" si="8"/>
        <v>34125</v>
      </c>
      <c r="W31" s="245">
        <f t="shared" si="8"/>
        <v>34125</v>
      </c>
      <c r="X31" s="245">
        <f t="shared" si="8"/>
        <v>34125</v>
      </c>
      <c r="Y31" s="412">
        <f t="shared" si="10"/>
        <v>136500</v>
      </c>
      <c r="Z31" s="430">
        <f t="shared" si="11"/>
        <v>116025</v>
      </c>
    </row>
    <row r="32" spans="1:26">
      <c r="A32" s="426">
        <f>VLOOKUP($C$8,[2]!APPLIC,MATCH($C$12,[2]!BLDGTYPE,0),FALSE)</f>
        <v>1</v>
      </c>
      <c r="B32" s="427">
        <f>VLOOKUP(D32,WattClass,2,FALSE)</f>
        <v>1.4E-2</v>
      </c>
      <c r="C32" s="427">
        <f>1/VLOOKUP('SC-NR'!D32,MMap!$A$12:$AU$36,15,FALSE)</f>
        <v>0.25</v>
      </c>
      <c r="D32" s="34" t="s">
        <v>673</v>
      </c>
      <c r="E32" s="245">
        <f t="shared" si="9"/>
        <v>2730</v>
      </c>
      <c r="F32" s="245">
        <f t="shared" si="8"/>
        <v>2730</v>
      </c>
      <c r="G32" s="245">
        <f t="shared" si="8"/>
        <v>2730</v>
      </c>
      <c r="H32" s="245">
        <f t="shared" si="8"/>
        <v>2730</v>
      </c>
      <c r="I32" s="245">
        <f t="shared" si="8"/>
        <v>2730</v>
      </c>
      <c r="J32" s="245">
        <f t="shared" si="8"/>
        <v>2730</v>
      </c>
      <c r="K32" s="245">
        <f t="shared" si="8"/>
        <v>2730</v>
      </c>
      <c r="L32" s="245">
        <f t="shared" si="8"/>
        <v>2730</v>
      </c>
      <c r="M32" s="245">
        <f t="shared" si="8"/>
        <v>2730</v>
      </c>
      <c r="N32" s="245">
        <f t="shared" si="8"/>
        <v>2730</v>
      </c>
      <c r="O32" s="245">
        <f t="shared" si="8"/>
        <v>2730</v>
      </c>
      <c r="P32" s="245">
        <f t="shared" si="8"/>
        <v>2730</v>
      </c>
      <c r="Q32" s="245">
        <f t="shared" si="8"/>
        <v>2730</v>
      </c>
      <c r="R32" s="245">
        <f t="shared" si="8"/>
        <v>2730</v>
      </c>
      <c r="S32" s="245">
        <f t="shared" si="8"/>
        <v>2730</v>
      </c>
      <c r="T32" s="245">
        <f t="shared" si="8"/>
        <v>2730</v>
      </c>
      <c r="U32" s="245">
        <f t="shared" si="8"/>
        <v>2730</v>
      </c>
      <c r="V32" s="245">
        <f t="shared" si="8"/>
        <v>2730</v>
      </c>
      <c r="W32" s="245">
        <f t="shared" si="8"/>
        <v>2730</v>
      </c>
      <c r="X32" s="245">
        <f t="shared" si="8"/>
        <v>2730</v>
      </c>
      <c r="Y32" s="412">
        <f t="shared" si="10"/>
        <v>10920</v>
      </c>
      <c r="Z32" s="430">
        <f t="shared" si="11"/>
        <v>9282</v>
      </c>
    </row>
    <row r="33" spans="1:26">
      <c r="D33" s="166"/>
      <c r="E33" s="265"/>
      <c r="F33" s="265"/>
      <c r="G33" s="265"/>
      <c r="H33" s="265"/>
      <c r="I33" s="265"/>
      <c r="J33" s="265"/>
      <c r="K33" s="265"/>
      <c r="L33" s="265"/>
      <c r="M33" s="265"/>
      <c r="N33" s="265"/>
      <c r="O33" s="265"/>
      <c r="P33" s="265"/>
      <c r="Q33" s="265"/>
      <c r="R33" s="265"/>
      <c r="S33" s="265"/>
      <c r="T33" s="265"/>
      <c r="U33" s="265"/>
      <c r="V33" s="265"/>
      <c r="W33" s="265"/>
      <c r="X33" s="265"/>
      <c r="Y33" s="412"/>
      <c r="Z33" s="410"/>
    </row>
    <row r="34" spans="1:26">
      <c r="D34" s="166" t="s">
        <v>990</v>
      </c>
      <c r="E34" s="265">
        <f>SUM(E28:E32)</f>
        <v>163371</v>
      </c>
      <c r="F34" s="265">
        <f t="shared" ref="F34:X34" si="12">SUM(F28:F32)</f>
        <v>163371</v>
      </c>
      <c r="G34" s="265">
        <f t="shared" si="12"/>
        <v>163371</v>
      </c>
      <c r="H34" s="265">
        <f t="shared" si="12"/>
        <v>163371</v>
      </c>
      <c r="I34" s="265">
        <f t="shared" si="12"/>
        <v>163371</v>
      </c>
      <c r="J34" s="265">
        <f t="shared" si="12"/>
        <v>163371</v>
      </c>
      <c r="K34" s="265">
        <f t="shared" si="12"/>
        <v>163371</v>
      </c>
      <c r="L34" s="265">
        <f t="shared" si="12"/>
        <v>163371</v>
      </c>
      <c r="M34" s="265">
        <f t="shared" si="12"/>
        <v>163371</v>
      </c>
      <c r="N34" s="265">
        <f t="shared" si="12"/>
        <v>163371</v>
      </c>
      <c r="O34" s="265">
        <f t="shared" si="12"/>
        <v>163371</v>
      </c>
      <c r="P34" s="265">
        <f t="shared" si="12"/>
        <v>163371</v>
      </c>
      <c r="Q34" s="265">
        <f t="shared" si="12"/>
        <v>163371</v>
      </c>
      <c r="R34" s="265">
        <f t="shared" si="12"/>
        <v>163371</v>
      </c>
      <c r="S34" s="265">
        <f t="shared" si="12"/>
        <v>163371</v>
      </c>
      <c r="T34" s="265">
        <f t="shared" si="12"/>
        <v>163371</v>
      </c>
      <c r="U34" s="265">
        <f t="shared" si="12"/>
        <v>163371</v>
      </c>
      <c r="V34" s="265">
        <f t="shared" si="12"/>
        <v>163371</v>
      </c>
      <c r="W34" s="265">
        <f t="shared" si="12"/>
        <v>163371</v>
      </c>
      <c r="X34" s="265">
        <f t="shared" si="12"/>
        <v>163371</v>
      </c>
      <c r="Y34" s="412">
        <f>SUM(Y28:Y32)</f>
        <v>780000</v>
      </c>
      <c r="Z34" s="412">
        <f>SUM(Z28:Z32)</f>
        <v>663000</v>
      </c>
    </row>
    <row r="35" spans="1:26">
      <c r="D35" s="166"/>
      <c r="E35" s="265"/>
      <c r="F35" s="265"/>
      <c r="G35" s="265"/>
      <c r="H35" s="265"/>
      <c r="I35" s="265"/>
      <c r="J35" s="265"/>
      <c r="K35" s="265"/>
      <c r="L35" s="265"/>
      <c r="M35" s="265"/>
      <c r="N35" s="265"/>
      <c r="O35" s="265"/>
      <c r="P35" s="265"/>
      <c r="Q35" s="265"/>
      <c r="R35" s="265"/>
      <c r="S35" s="265"/>
      <c r="T35" s="265"/>
      <c r="U35" s="265"/>
      <c r="V35" s="265"/>
      <c r="W35" s="265"/>
      <c r="X35" s="265"/>
      <c r="Y35" s="265"/>
    </row>
    <row r="36" spans="1:26" ht="15">
      <c r="A36" s="424" t="s">
        <v>984</v>
      </c>
      <c r="B36" s="424"/>
      <c r="D36" s="11" t="s">
        <v>995</v>
      </c>
      <c r="E36" s="243"/>
      <c r="F36" s="243"/>
      <c r="G36" s="166"/>
      <c r="H36" s="166"/>
      <c r="I36" s="166"/>
      <c r="J36" s="166"/>
      <c r="K36" s="166"/>
      <c r="L36" s="166"/>
      <c r="M36" s="166"/>
      <c r="N36" s="166"/>
      <c r="O36" s="166"/>
      <c r="P36" s="166"/>
      <c r="Q36" s="166"/>
      <c r="R36" s="166"/>
      <c r="S36" s="166"/>
      <c r="T36" s="166"/>
      <c r="U36" s="166"/>
      <c r="V36" s="166"/>
      <c r="W36" s="166"/>
      <c r="X36" s="166"/>
      <c r="Y36" s="166"/>
    </row>
    <row r="37" spans="1:26" ht="15">
      <c r="A37" s="406" t="s">
        <v>985</v>
      </c>
      <c r="B37" s="406" t="s">
        <v>986</v>
      </c>
      <c r="C37" s="406" t="s">
        <v>681</v>
      </c>
      <c r="D37" s="406" t="str">
        <f>$C$11</f>
        <v>Street and Roadway Lighting-NR</v>
      </c>
      <c r="E37" s="425">
        <f>E11</f>
        <v>2016</v>
      </c>
      <c r="F37" s="425">
        <f t="shared" ref="F37:X37" si="13">F11</f>
        <v>2017</v>
      </c>
      <c r="G37" s="425">
        <f t="shared" si="13"/>
        <v>2018</v>
      </c>
      <c r="H37" s="425">
        <f t="shared" si="13"/>
        <v>2019</v>
      </c>
      <c r="I37" s="425">
        <f t="shared" si="13"/>
        <v>2020</v>
      </c>
      <c r="J37" s="425">
        <f t="shared" si="13"/>
        <v>2021</v>
      </c>
      <c r="K37" s="425">
        <f t="shared" si="13"/>
        <v>2022</v>
      </c>
      <c r="L37" s="425">
        <f t="shared" si="13"/>
        <v>2023</v>
      </c>
      <c r="M37" s="425">
        <f t="shared" si="13"/>
        <v>2024</v>
      </c>
      <c r="N37" s="425">
        <f t="shared" si="13"/>
        <v>2025</v>
      </c>
      <c r="O37" s="425">
        <f t="shared" si="13"/>
        <v>2026</v>
      </c>
      <c r="P37" s="425">
        <f t="shared" si="13"/>
        <v>2027</v>
      </c>
      <c r="Q37" s="425">
        <f t="shared" si="13"/>
        <v>2028</v>
      </c>
      <c r="R37" s="425">
        <f t="shared" si="13"/>
        <v>2029</v>
      </c>
      <c r="S37" s="425">
        <f t="shared" si="13"/>
        <v>2030</v>
      </c>
      <c r="T37" s="425">
        <f t="shared" si="13"/>
        <v>2031</v>
      </c>
      <c r="U37" s="425">
        <f t="shared" si="13"/>
        <v>2032</v>
      </c>
      <c r="V37" s="425">
        <f t="shared" si="13"/>
        <v>2033</v>
      </c>
      <c r="W37" s="425">
        <f t="shared" si="13"/>
        <v>2034</v>
      </c>
      <c r="X37" s="425">
        <f t="shared" si="13"/>
        <v>2035</v>
      </c>
      <c r="Y37" s="410" t="s">
        <v>996</v>
      </c>
      <c r="Z37" s="410" t="s">
        <v>777</v>
      </c>
    </row>
    <row r="38" spans="1:26">
      <c r="A38" s="426">
        <f>VLOOKUP($C$8,[2]!APPLIC,MATCH($C$12,[2]!BLDGTYPE,0),FALSE)</f>
        <v>1</v>
      </c>
      <c r="B38" s="427">
        <f>VLOOKUP(D38,WattClass,2,FALSE)</f>
        <v>0.54</v>
      </c>
      <c r="C38" s="427">
        <f>1/VLOOKUP('SC-NR'!D38,MMap!$A$12:$AU$36,15,FALSE)</f>
        <v>0.2</v>
      </c>
      <c r="D38" s="34" t="str">
        <f>D28</f>
        <v>Streetlight - HPS 100W - NR</v>
      </c>
      <c r="E38" s="245">
        <f>E$16*$C38*$B38*$A38</f>
        <v>0</v>
      </c>
      <c r="F38" s="245">
        <f t="shared" ref="F38:X42" si="14">F$16*$C38*$B38*$A38</f>
        <v>0</v>
      </c>
      <c r="G38" s="245">
        <f t="shared" si="14"/>
        <v>0</v>
      </c>
      <c r="H38" s="245">
        <f t="shared" si="14"/>
        <v>0</v>
      </c>
      <c r="I38" s="245">
        <f t="shared" si="14"/>
        <v>0</v>
      </c>
      <c r="J38" s="245">
        <f t="shared" si="14"/>
        <v>290.82577360158194</v>
      </c>
      <c r="K38" s="245">
        <f t="shared" si="14"/>
        <v>217.42440939602531</v>
      </c>
      <c r="L38" s="245">
        <f t="shared" si="14"/>
        <v>163.40720053277283</v>
      </c>
      <c r="M38" s="245">
        <f t="shared" si="14"/>
        <v>127.82909292732644</v>
      </c>
      <c r="N38" s="245">
        <f t="shared" si="14"/>
        <v>107.27830465682048</v>
      </c>
      <c r="O38" s="245">
        <f t="shared" si="14"/>
        <v>96.093772158013294</v>
      </c>
      <c r="P38" s="245">
        <f t="shared" si="14"/>
        <v>90.095289369448736</v>
      </c>
      <c r="Q38" s="245">
        <f t="shared" si="14"/>
        <v>86.612911514279773</v>
      </c>
      <c r="R38" s="245">
        <f t="shared" si="14"/>
        <v>84.3021383420094</v>
      </c>
      <c r="S38" s="245">
        <f t="shared" si="14"/>
        <v>82.659763006016732</v>
      </c>
      <c r="T38" s="245">
        <f t="shared" si="14"/>
        <v>81.437158661151869</v>
      </c>
      <c r="U38" s="245">
        <f t="shared" si="14"/>
        <v>80.550578947129196</v>
      </c>
      <c r="V38" s="245">
        <f t="shared" si="14"/>
        <v>79.798912360598152</v>
      </c>
      <c r="W38" s="245">
        <f t="shared" si="14"/>
        <v>79.057023464359119</v>
      </c>
      <c r="X38" s="245">
        <f t="shared" si="14"/>
        <v>78.357625159679586</v>
      </c>
      <c r="Y38" s="412">
        <f>$Y$16*B38</f>
        <v>8728.6497704860667</v>
      </c>
      <c r="Z38" s="412">
        <f>Y38*$Z$18</f>
        <v>7419.3523049131563</v>
      </c>
    </row>
    <row r="39" spans="1:26">
      <c r="A39" s="426">
        <f>VLOOKUP($C$8,[2]!APPLIC,MATCH($C$12,[2]!BLDGTYPE,0),FALSE)</f>
        <v>1</v>
      </c>
      <c r="B39" s="427">
        <f>VLOOKUP(D39,WattClass,2,FALSE)</f>
        <v>0.13100000000000001</v>
      </c>
      <c r="C39" s="427">
        <f>1/VLOOKUP('SC-NR'!D39,MMap!$A$12:$AU$36,15,FALSE)</f>
        <v>0.2</v>
      </c>
      <c r="D39" s="34" t="str">
        <f t="shared" ref="D39:D42" si="15">D29</f>
        <v>Streetlight - MH 200W  - NR</v>
      </c>
      <c r="E39" s="245">
        <f t="shared" ref="E39:T42" si="16">E$16*$C39*$B39*$A39</f>
        <v>0</v>
      </c>
      <c r="F39" s="245">
        <f t="shared" si="16"/>
        <v>0</v>
      </c>
      <c r="G39" s="245">
        <f t="shared" si="16"/>
        <v>0</v>
      </c>
      <c r="H39" s="245">
        <f t="shared" si="16"/>
        <v>0</v>
      </c>
      <c r="I39" s="245">
        <f t="shared" si="16"/>
        <v>0</v>
      </c>
      <c r="J39" s="245">
        <f t="shared" si="16"/>
        <v>70.552178410754138</v>
      </c>
      <c r="K39" s="245">
        <f t="shared" si="16"/>
        <v>52.745551168295023</v>
      </c>
      <c r="L39" s="245">
        <f t="shared" si="16"/>
        <v>39.641376425543037</v>
      </c>
      <c r="M39" s="245">
        <f t="shared" si="16"/>
        <v>31.010391061999563</v>
      </c>
      <c r="N39" s="245">
        <f t="shared" si="16"/>
        <v>26.024922055636079</v>
      </c>
      <c r="O39" s="245">
        <f t="shared" si="16"/>
        <v>23.311637319814334</v>
      </c>
      <c r="P39" s="245">
        <f t="shared" si="16"/>
        <v>21.856449828514414</v>
      </c>
      <c r="Q39" s="245">
        <f t="shared" si="16"/>
        <v>21.011650756241945</v>
      </c>
      <c r="R39" s="245">
        <f t="shared" si="16"/>
        <v>20.451074301487466</v>
      </c>
      <c r="S39" s="245">
        <f t="shared" si="16"/>
        <v>20.052646210718873</v>
      </c>
      <c r="T39" s="245">
        <f t="shared" si="16"/>
        <v>19.756051452983137</v>
      </c>
      <c r="U39" s="245">
        <f t="shared" si="14"/>
        <v>19.54097378161838</v>
      </c>
      <c r="V39" s="245">
        <f t="shared" si="14"/>
        <v>19.358625035626588</v>
      </c>
      <c r="W39" s="245">
        <f t="shared" si="14"/>
        <v>19.178648284872306</v>
      </c>
      <c r="X39" s="245">
        <f t="shared" si="14"/>
        <v>19.00897943688523</v>
      </c>
      <c r="Y39" s="412">
        <f t="shared" ref="Y39:Y44" si="17">$Y$16*B39</f>
        <v>2117.5057776549529</v>
      </c>
      <c r="Z39" s="412">
        <f t="shared" ref="Z39:Z42" si="18">Y39*$Z$18</f>
        <v>1799.87991100671</v>
      </c>
    </row>
    <row r="40" spans="1:26">
      <c r="A40" s="426">
        <f>VLOOKUP($C$8,[2]!APPLIC,MATCH($C$12,[2]!BLDGTYPE,0),FALSE)</f>
        <v>1</v>
      </c>
      <c r="B40" s="427">
        <f>VLOOKUP(D40,WattClass,2,FALSE)</f>
        <v>0.14000000000000001</v>
      </c>
      <c r="C40" s="427">
        <f>1/VLOOKUP('SC-NR'!D40,MMap!$A$12:$AU$36,15,FALSE)</f>
        <v>0.2</v>
      </c>
      <c r="D40" s="34" t="str">
        <f t="shared" si="15"/>
        <v>Streetlight - HPS 250W - NR</v>
      </c>
      <c r="E40" s="245">
        <f t="shared" si="16"/>
        <v>0</v>
      </c>
      <c r="F40" s="245">
        <f t="shared" si="14"/>
        <v>0</v>
      </c>
      <c r="G40" s="245">
        <f t="shared" si="14"/>
        <v>0</v>
      </c>
      <c r="H40" s="245">
        <f t="shared" si="14"/>
        <v>0</v>
      </c>
      <c r="I40" s="245">
        <f t="shared" si="14"/>
        <v>0</v>
      </c>
      <c r="J40" s="245">
        <f t="shared" si="14"/>
        <v>75.399274637447178</v>
      </c>
      <c r="K40" s="245">
        <f t="shared" si="14"/>
        <v>56.36929132489545</v>
      </c>
      <c r="L40" s="245">
        <f t="shared" si="14"/>
        <v>42.364829767755921</v>
      </c>
      <c r="M40" s="245">
        <f t="shared" si="14"/>
        <v>33.140875944121674</v>
      </c>
      <c r="N40" s="245">
        <f t="shared" si="14"/>
        <v>27.81289379991642</v>
      </c>
      <c r="O40" s="245">
        <f t="shared" si="14"/>
        <v>24.913200189114558</v>
      </c>
      <c r="P40" s="245">
        <f t="shared" si="14"/>
        <v>23.358037984671896</v>
      </c>
      <c r="Q40" s="245">
        <f t="shared" si="14"/>
        <v>22.455199281479942</v>
      </c>
      <c r="R40" s="245">
        <f t="shared" si="14"/>
        <v>21.856109940520959</v>
      </c>
      <c r="S40" s="245">
        <f t="shared" si="14"/>
        <v>21.430308927485822</v>
      </c>
      <c r="T40" s="245">
        <f t="shared" si="14"/>
        <v>21.113337430669002</v>
      </c>
      <c r="U40" s="245">
        <f t="shared" si="14"/>
        <v>20.883483430737201</v>
      </c>
      <c r="V40" s="245">
        <f t="shared" si="14"/>
        <v>20.688606908303225</v>
      </c>
      <c r="W40" s="245">
        <f t="shared" si="14"/>
        <v>20.496265342611625</v>
      </c>
      <c r="X40" s="245">
        <f t="shared" si="14"/>
        <v>20.314939856213226</v>
      </c>
      <c r="Y40" s="412">
        <f t="shared" si="17"/>
        <v>2262.9832738297209</v>
      </c>
      <c r="Z40" s="412">
        <f t="shared" si="18"/>
        <v>1923.5357827552627</v>
      </c>
    </row>
    <row r="41" spans="1:26">
      <c r="A41" s="426">
        <f>VLOOKUP($C$8,[2]!APPLIC,MATCH($C$12,[2]!BLDGTYPE,0),FALSE)</f>
        <v>1</v>
      </c>
      <c r="B41" s="427">
        <f>VLOOKUP(D41,WattClass,2,FALSE)</f>
        <v>0.17499999999999999</v>
      </c>
      <c r="C41" s="427">
        <f>1/VLOOKUP('SC-NR'!D41,MMap!$A$12:$AU$36,15,FALSE)</f>
        <v>0.25</v>
      </c>
      <c r="D41" s="34" t="str">
        <f t="shared" si="15"/>
        <v>Streetlight - MH 400W  - NR</v>
      </c>
      <c r="E41" s="245">
        <f t="shared" si="16"/>
        <v>0</v>
      </c>
      <c r="F41" s="245">
        <f t="shared" si="14"/>
        <v>0</v>
      </c>
      <c r="G41" s="245">
        <f t="shared" si="14"/>
        <v>0</v>
      </c>
      <c r="H41" s="245">
        <f t="shared" si="14"/>
        <v>0</v>
      </c>
      <c r="I41" s="245">
        <f t="shared" si="14"/>
        <v>0</v>
      </c>
      <c r="J41" s="245">
        <f t="shared" si="14"/>
        <v>117.81136662101119</v>
      </c>
      <c r="K41" s="245">
        <f t="shared" si="14"/>
        <v>88.077017695149124</v>
      </c>
      <c r="L41" s="245">
        <f t="shared" si="14"/>
        <v>66.195046512118608</v>
      </c>
      <c r="M41" s="245">
        <f t="shared" si="14"/>
        <v>51.782618662690105</v>
      </c>
      <c r="N41" s="245">
        <f t="shared" si="14"/>
        <v>43.457646562369405</v>
      </c>
      <c r="O41" s="245">
        <f t="shared" si="14"/>
        <v>38.926875295491492</v>
      </c>
      <c r="P41" s="245">
        <f t="shared" si="14"/>
        <v>36.496934351049823</v>
      </c>
      <c r="Q41" s="245">
        <f t="shared" si="14"/>
        <v>35.0862488773124</v>
      </c>
      <c r="R41" s="245">
        <f t="shared" si="14"/>
        <v>34.150171782063985</v>
      </c>
      <c r="S41" s="245">
        <f t="shared" si="14"/>
        <v>33.484857699196588</v>
      </c>
      <c r="T41" s="245">
        <f t="shared" si="14"/>
        <v>32.989589735420317</v>
      </c>
      <c r="U41" s="245">
        <f t="shared" si="14"/>
        <v>32.630442860526877</v>
      </c>
      <c r="V41" s="245">
        <f t="shared" si="14"/>
        <v>32.325948294223785</v>
      </c>
      <c r="W41" s="245">
        <f t="shared" si="14"/>
        <v>32.025414597830661</v>
      </c>
      <c r="X41" s="245">
        <f t="shared" si="14"/>
        <v>31.742093525333157</v>
      </c>
      <c r="Y41" s="412">
        <f t="shared" si="17"/>
        <v>2828.7290922871507</v>
      </c>
      <c r="Z41" s="412">
        <f t="shared" si="18"/>
        <v>2404.4197284440779</v>
      </c>
    </row>
    <row r="42" spans="1:26">
      <c r="A42" s="426">
        <f>VLOOKUP($C$8,[2]!APPLIC,MATCH($C$12,[2]!BLDGTYPE,0),FALSE)</f>
        <v>1</v>
      </c>
      <c r="B42" s="427">
        <f>VLOOKUP(D42,WattClass,2,FALSE)</f>
        <v>1.4E-2</v>
      </c>
      <c r="C42" s="427">
        <f>1/VLOOKUP('SC-NR'!D42,MMap!$A$12:$AU$36,15,FALSE)</f>
        <v>0.25</v>
      </c>
      <c r="D42" s="34" t="str">
        <f t="shared" si="15"/>
        <v>Streetlight - MH 1000W - NR</v>
      </c>
      <c r="E42" s="245">
        <f t="shared" si="16"/>
        <v>0</v>
      </c>
      <c r="F42" s="245">
        <f t="shared" si="14"/>
        <v>0</v>
      </c>
      <c r="G42" s="245">
        <f t="shared" si="14"/>
        <v>0</v>
      </c>
      <c r="H42" s="245">
        <f t="shared" si="14"/>
        <v>0</v>
      </c>
      <c r="I42" s="245">
        <f t="shared" si="14"/>
        <v>0</v>
      </c>
      <c r="J42" s="245">
        <f t="shared" si="14"/>
        <v>9.4249093296808972</v>
      </c>
      <c r="K42" s="245">
        <f t="shared" si="14"/>
        <v>7.0461614156119303</v>
      </c>
      <c r="L42" s="245">
        <f t="shared" si="14"/>
        <v>5.2956037209694893</v>
      </c>
      <c r="M42" s="245">
        <f t="shared" si="14"/>
        <v>4.1426094930152084</v>
      </c>
      <c r="N42" s="245">
        <f t="shared" si="14"/>
        <v>3.4766117249895525</v>
      </c>
      <c r="O42" s="245">
        <f t="shared" si="14"/>
        <v>3.1141500236393194</v>
      </c>
      <c r="P42" s="245">
        <f t="shared" si="14"/>
        <v>2.9197547480839865</v>
      </c>
      <c r="Q42" s="245">
        <f t="shared" si="14"/>
        <v>2.8068999101849923</v>
      </c>
      <c r="R42" s="245">
        <f t="shared" si="14"/>
        <v>2.7320137425651194</v>
      </c>
      <c r="S42" s="245">
        <f t="shared" si="14"/>
        <v>2.6787886159357273</v>
      </c>
      <c r="T42" s="245">
        <f t="shared" si="14"/>
        <v>2.6391671788336253</v>
      </c>
      <c r="U42" s="245">
        <f t="shared" si="14"/>
        <v>2.6104354288421501</v>
      </c>
      <c r="V42" s="245">
        <f t="shared" si="14"/>
        <v>2.5860758635379031</v>
      </c>
      <c r="W42" s="245">
        <f t="shared" si="14"/>
        <v>2.5620331678264527</v>
      </c>
      <c r="X42" s="245">
        <f t="shared" si="14"/>
        <v>2.5393674820266527</v>
      </c>
      <c r="Y42" s="412">
        <f t="shared" si="17"/>
        <v>226.29832738297208</v>
      </c>
      <c r="Z42" s="412">
        <f t="shared" si="18"/>
        <v>192.35357827552625</v>
      </c>
    </row>
    <row r="43" spans="1:26">
      <c r="E43" s="266"/>
      <c r="F43" s="266"/>
      <c r="G43" s="266"/>
      <c r="H43" s="266"/>
      <c r="I43" s="266"/>
      <c r="J43" s="266"/>
      <c r="K43" s="266"/>
      <c r="L43" s="266"/>
      <c r="M43" s="266"/>
      <c r="N43" s="266"/>
      <c r="O43" s="266"/>
      <c r="P43" s="266"/>
      <c r="Q43" s="266"/>
      <c r="R43" s="266"/>
      <c r="S43" s="266"/>
      <c r="T43" s="266"/>
      <c r="U43" s="266"/>
      <c r="V43" s="266"/>
      <c r="W43" s="266"/>
      <c r="X43" s="266"/>
      <c r="Y43" s="412">
        <f t="shared" si="17"/>
        <v>0</v>
      </c>
      <c r="Z43" s="428"/>
    </row>
    <row r="44" spans="1:26">
      <c r="D44" s="106" t="s">
        <v>990</v>
      </c>
      <c r="E44" s="245">
        <f>SUM(E38:E42)</f>
        <v>0</v>
      </c>
      <c r="F44" s="245">
        <f t="shared" ref="F44:X44" si="19">SUM(F38:F42)</f>
        <v>0</v>
      </c>
      <c r="G44" s="245">
        <f t="shared" si="19"/>
        <v>0</v>
      </c>
      <c r="H44" s="245">
        <f t="shared" si="19"/>
        <v>0</v>
      </c>
      <c r="I44" s="245">
        <f t="shared" si="19"/>
        <v>0</v>
      </c>
      <c r="J44" s="245">
        <f t="shared" si="19"/>
        <v>564.01350260047536</v>
      </c>
      <c r="K44" s="245">
        <f t="shared" si="19"/>
        <v>421.66243099997683</v>
      </c>
      <c r="L44" s="245">
        <f t="shared" si="19"/>
        <v>316.9040569591599</v>
      </c>
      <c r="M44" s="245">
        <f t="shared" si="19"/>
        <v>247.90558808915301</v>
      </c>
      <c r="N44" s="245">
        <f t="shared" si="19"/>
        <v>208.05037879973193</v>
      </c>
      <c r="O44" s="245">
        <f t="shared" si="19"/>
        <v>186.35963498607302</v>
      </c>
      <c r="P44" s="245">
        <f t="shared" si="19"/>
        <v>174.72646628176886</v>
      </c>
      <c r="Q44" s="245">
        <f t="shared" si="19"/>
        <v>167.97291033949904</v>
      </c>
      <c r="R44" s="245">
        <f t="shared" si="19"/>
        <v>163.49150810864694</v>
      </c>
      <c r="S44" s="245">
        <f t="shared" si="19"/>
        <v>160.30636445935374</v>
      </c>
      <c r="T44" s="245">
        <f t="shared" si="19"/>
        <v>157.93530445905796</v>
      </c>
      <c r="U44" s="245">
        <f t="shared" si="19"/>
        <v>156.21591444885379</v>
      </c>
      <c r="V44" s="245">
        <f t="shared" si="19"/>
        <v>154.75816846228966</v>
      </c>
      <c r="W44" s="245">
        <f t="shared" si="19"/>
        <v>153.31938485750018</v>
      </c>
      <c r="X44" s="245">
        <f t="shared" si="19"/>
        <v>151.96300546013785</v>
      </c>
      <c r="Y44" s="412">
        <f t="shared" si="17"/>
        <v>0</v>
      </c>
      <c r="Z44" s="412">
        <f>SUM(Z38:Z42)</f>
        <v>13739.541305394734</v>
      </c>
    </row>
    <row r="45" spans="1:26">
      <c r="D45" s="106"/>
      <c r="E45" s="245"/>
      <c r="F45" s="245"/>
      <c r="G45" s="245"/>
      <c r="H45" s="245"/>
      <c r="I45" s="245"/>
      <c r="J45" s="245"/>
      <c r="K45" s="245"/>
      <c r="L45" s="245"/>
      <c r="M45" s="245"/>
      <c r="N45" s="245"/>
      <c r="O45" s="245"/>
      <c r="P45" s="245"/>
      <c r="Q45" s="245"/>
      <c r="R45" s="245"/>
      <c r="S45" s="245"/>
      <c r="T45" s="245"/>
      <c r="U45" s="245"/>
      <c r="V45" s="245"/>
      <c r="W45" s="245"/>
      <c r="X45" s="245"/>
      <c r="Y45" s="265"/>
    </row>
    <row r="46" spans="1:26" ht="15">
      <c r="D46" s="406" t="s">
        <v>970</v>
      </c>
      <c r="Y46" s="265"/>
    </row>
    <row r="47" spans="1:26" ht="15">
      <c r="A47" s="421" t="s">
        <v>991</v>
      </c>
      <c r="D47" s="406" t="str">
        <f>$C$8</f>
        <v>Street and Roadway Lighting-NR</v>
      </c>
      <c r="E47" s="409">
        <f>VLOOKUP($D$47,[2]!ACHIEV,MATCH(E$11,$E$11:$Y$11,0)+2,FALSE)</f>
        <v>0.6159606548330806</v>
      </c>
      <c r="F47" s="409">
        <f>VLOOKUP($D$47,[2]!ACHIEV,MATCH(F$11,$E$11:$Y$11,0)+2,FALSE)</f>
        <v>0.76218346297296036</v>
      </c>
      <c r="G47" s="409">
        <f>VLOOKUP($D$47,[2]!ACHIEV,MATCH(G$11,$E$11:$Y$11,0)+2,FALSE)</f>
        <v>0.86662832593001715</v>
      </c>
      <c r="H47" s="409">
        <f>VLOOKUP($D$47,[2]!ACHIEV,MATCH(H$11,$E$11:$Y$11,0)+2,FALSE)</f>
        <v>0.93190636527817794</v>
      </c>
      <c r="I47" s="409">
        <f>VLOOKUP($D$47,[2]!ACHIEV,MATCH(I$11,$E$11:$Y$11,0)+2,FALSE)</f>
        <v>0.96817194269382267</v>
      </c>
      <c r="J47" s="409">
        <f>VLOOKUP($D$47,[2]!ACHIEV,MATCH(J$11,$E$11:$Y$11,0)+2,FALSE)</f>
        <v>0.98630473140164487</v>
      </c>
      <c r="K47" s="409">
        <f>VLOOKUP($D$47,[2]!ACHIEV,MATCH(K$11,$E$11:$Y$11,0)+2,FALSE)</f>
        <v>0.99454690808701873</v>
      </c>
      <c r="L47" s="409">
        <f>VLOOKUP($D$47,[2]!ACHIEV,MATCH(L$11,$E$11:$Y$11,0)+2,FALSE)</f>
        <v>0.99798114837259111</v>
      </c>
      <c r="M47" s="409">
        <f>VLOOKUP($D$47,[2]!ACHIEV,MATCH(M$11,$E$11:$Y$11,0)+2,FALSE)</f>
        <v>0.99930201002088814</v>
      </c>
      <c r="N47" s="409">
        <f>VLOOKUP($D$47,[2]!ACHIEV,MATCH(N$11,$E$11:$Y$11,0)+2,FALSE)</f>
        <v>0.99977374632385152</v>
      </c>
      <c r="O47" s="409">
        <f>VLOOKUP($D$47,[2]!ACHIEV,MATCH(O$11,$E$11:$Y$11,0)+2,FALSE)</f>
        <v>0.99993099175817246</v>
      </c>
      <c r="P47" s="409">
        <f>VLOOKUP($D$47,[2]!ACHIEV,MATCH(P$11,$E$11:$Y$11,0)+2,FALSE)</f>
        <v>0.99998013095639793</v>
      </c>
      <c r="Q47" s="409">
        <f>VLOOKUP($D$47,[2]!ACHIEV,MATCH(Q$11,$E$11:$Y$11,0)+2,FALSE)</f>
        <v>0.9999945836617582</v>
      </c>
      <c r="R47" s="409">
        <f>VLOOKUP($D$47,[2]!ACHIEV,MATCH(R$11,$E$11:$Y$11,0)+2,FALSE)</f>
        <v>0.99999859830213611</v>
      </c>
      <c r="S47" s="409">
        <f>VLOOKUP($D$47,[2]!ACHIEV,MATCH(S$11,$E$11:$Y$11,0)+2,FALSE)</f>
        <v>0.99999965478644626</v>
      </c>
      <c r="T47" s="409">
        <f>VLOOKUP($D$47,[2]!ACHIEV,MATCH(T$11,$E$11:$Y$11,0)+2,FALSE)</f>
        <v>0.99999991890752382</v>
      </c>
      <c r="U47" s="409">
        <f>VLOOKUP($D$47,[2]!ACHIEV,MATCH(U$11,$E$11:$Y$11,0)+2,FALSE)</f>
        <v>0.99999998179349459</v>
      </c>
      <c r="V47" s="409">
        <f>VLOOKUP($D$47,[2]!ACHIEV,MATCH(V$11,$E$11:$Y$11,0)+2,FALSE)</f>
        <v>0.99999999608576073</v>
      </c>
      <c r="W47" s="409">
        <f>VLOOKUP($D$47,[2]!ACHIEV,MATCH(W$11,$E$11:$Y$11,0)+2,FALSE)</f>
        <v>0.99999999919277494</v>
      </c>
      <c r="X47" s="409">
        <f>VLOOKUP($D$47,[2]!ACHIEV,MATCH(X$11,$E$11:$Y$11,0)+2,FALSE)</f>
        <v>0.9999999998400696</v>
      </c>
      <c r="Y47" s="265"/>
    </row>
    <row r="48" spans="1:26">
      <c r="A48" s="258" t="s">
        <v>971</v>
      </c>
      <c r="D48" s="34" t="str">
        <f>D28</f>
        <v>Streetlight - HPS 100W - NR</v>
      </c>
      <c r="E48" s="245">
        <f t="shared" ref="E48:X48" si="20">SUM(E28,E38)*E$47*$Z$18</f>
        <v>44105.246728667902</v>
      </c>
      <c r="F48" s="245">
        <f t="shared" si="20"/>
        <v>54575.384682715849</v>
      </c>
      <c r="G48" s="245">
        <f t="shared" si="20"/>
        <v>62054.05464989294</v>
      </c>
      <c r="H48" s="245">
        <f t="shared" si="20"/>
        <v>66728.223379378658</v>
      </c>
      <c r="I48" s="245">
        <f t="shared" si="20"/>
        <v>69324.983784648473</v>
      </c>
      <c r="J48" s="245">
        <f t="shared" si="20"/>
        <v>70867.180398322642</v>
      </c>
      <c r="K48" s="245">
        <f t="shared" si="20"/>
        <v>71397.339764654229</v>
      </c>
      <c r="L48" s="245">
        <f t="shared" si="20"/>
        <v>71598.05785786506</v>
      </c>
      <c r="M48" s="245">
        <f t="shared" si="20"/>
        <v>71662.600014611889</v>
      </c>
      <c r="N48" s="245">
        <f t="shared" si="20"/>
        <v>71678.965259437187</v>
      </c>
      <c r="O48" s="245">
        <f t="shared" si="20"/>
        <v>71680.732803613559</v>
      </c>
      <c r="P48" s="245">
        <f t="shared" si="20"/>
        <v>71679.156771374794</v>
      </c>
      <c r="Q48" s="245">
        <f t="shared" si="20"/>
        <v>71677.232744547568</v>
      </c>
      <c r="R48" s="245">
        <f t="shared" si="20"/>
        <v>71675.556349975654</v>
      </c>
      <c r="S48" s="245">
        <f t="shared" si="20"/>
        <v>71674.236055628819</v>
      </c>
      <c r="T48" s="245">
        <f t="shared" si="20"/>
        <v>71673.215772702955</v>
      </c>
      <c r="U48" s="245">
        <f t="shared" si="20"/>
        <v>71672.466687199892</v>
      </c>
      <c r="V48" s="245">
        <f t="shared" si="20"/>
        <v>71671.828794965812</v>
      </c>
      <c r="W48" s="245">
        <f t="shared" si="20"/>
        <v>71671.198412089914</v>
      </c>
      <c r="X48" s="245">
        <f t="shared" si="20"/>
        <v>71670.603969923424</v>
      </c>
      <c r="Y48" s="265"/>
    </row>
    <row r="49" spans="1:25">
      <c r="D49" s="34" t="str">
        <f t="shared" ref="D49:D52" si="21">D29</f>
        <v>Streetlight - MH 200W  - NR</v>
      </c>
      <c r="E49" s="245">
        <f t="shared" ref="E49:X49" si="22">SUM(E29,E39)*E$47*$Z$18</f>
        <v>10699.606150843509</v>
      </c>
      <c r="F49" s="245">
        <f t="shared" si="22"/>
        <v>13239.584061918105</v>
      </c>
      <c r="G49" s="245">
        <f t="shared" si="22"/>
        <v>15053.853998399954</v>
      </c>
      <c r="H49" s="245">
        <f t="shared" si="22"/>
        <v>16187.772708701117</v>
      </c>
      <c r="I49" s="245">
        <f t="shared" si="22"/>
        <v>16817.727547757317</v>
      </c>
      <c r="J49" s="245">
        <f t="shared" si="22"/>
        <v>17191.85302255605</v>
      </c>
      <c r="K49" s="245">
        <f t="shared" si="22"/>
        <v>17320.465757721675</v>
      </c>
      <c r="L49" s="245">
        <f t="shared" si="22"/>
        <v>17369.158480333925</v>
      </c>
      <c r="M49" s="245">
        <f t="shared" si="22"/>
        <v>17384.81592947066</v>
      </c>
      <c r="N49" s="245">
        <f t="shared" si="22"/>
        <v>17388.786016641243</v>
      </c>
      <c r="O49" s="245">
        <f t="shared" si="22"/>
        <v>17389.214809765512</v>
      </c>
      <c r="P49" s="245">
        <f t="shared" si="22"/>
        <v>17388.832476018702</v>
      </c>
      <c r="Q49" s="245">
        <f t="shared" si="22"/>
        <v>17388.365721362465</v>
      </c>
      <c r="R49" s="245">
        <f t="shared" si="22"/>
        <v>17387.959040457055</v>
      </c>
      <c r="S49" s="245">
        <f t="shared" si="22"/>
        <v>17387.638746828474</v>
      </c>
      <c r="T49" s="245">
        <f t="shared" si="22"/>
        <v>17387.391233748313</v>
      </c>
      <c r="U49" s="245">
        <f t="shared" si="22"/>
        <v>17387.209511154044</v>
      </c>
      <c r="V49" s="245">
        <f t="shared" si="22"/>
        <v>17387.05476322319</v>
      </c>
      <c r="W49" s="245">
        <f t="shared" si="22"/>
        <v>17386.901837006997</v>
      </c>
      <c r="X49" s="245">
        <f t="shared" si="22"/>
        <v>17386.757629740685</v>
      </c>
      <c r="Y49" s="265"/>
    </row>
    <row r="50" spans="1:25">
      <c r="D50" s="34" t="str">
        <f t="shared" si="21"/>
        <v>Streetlight - HPS 250W - NR</v>
      </c>
      <c r="E50" s="245">
        <f t="shared" ref="E50:X50" si="23">SUM(E30,E40)*E$47*$Z$18</f>
        <v>11434.693596321311</v>
      </c>
      <c r="F50" s="245">
        <f t="shared" si="23"/>
        <v>14149.173806630037</v>
      </c>
      <c r="G50" s="245">
        <f t="shared" si="23"/>
        <v>16088.08824256484</v>
      </c>
      <c r="H50" s="245">
        <f t="shared" si="23"/>
        <v>17299.909765024098</v>
      </c>
      <c r="I50" s="245">
        <f t="shared" si="23"/>
        <v>17973.143944168129</v>
      </c>
      <c r="J50" s="245">
        <f t="shared" si="23"/>
        <v>18372.972695861426</v>
      </c>
      <c r="K50" s="245">
        <f t="shared" si="23"/>
        <v>18510.421420465915</v>
      </c>
      <c r="L50" s="245">
        <f t="shared" si="23"/>
        <v>18562.459444631684</v>
      </c>
      <c r="M50" s="245">
        <f t="shared" si="23"/>
        <v>18579.192596380864</v>
      </c>
      <c r="N50" s="245">
        <f t="shared" si="23"/>
        <v>18583.435437631862</v>
      </c>
      <c r="O50" s="245">
        <f t="shared" si="23"/>
        <v>18583.893689825742</v>
      </c>
      <c r="P50" s="245">
        <f t="shared" si="23"/>
        <v>18583.48508887495</v>
      </c>
      <c r="Q50" s="245">
        <f t="shared" si="23"/>
        <v>18582.98626710493</v>
      </c>
      <c r="R50" s="245">
        <f t="shared" si="23"/>
        <v>18582.551646289983</v>
      </c>
      <c r="S50" s="245">
        <f t="shared" si="23"/>
        <v>18582.20934775563</v>
      </c>
      <c r="T50" s="245">
        <f t="shared" si="23"/>
        <v>18581.944829960034</v>
      </c>
      <c r="U50" s="245">
        <f t="shared" si="23"/>
        <v>18581.750622607382</v>
      </c>
      <c r="V50" s="245">
        <f t="shared" si="23"/>
        <v>18581.585243139292</v>
      </c>
      <c r="W50" s="245">
        <f t="shared" si="23"/>
        <v>18581.421810541833</v>
      </c>
      <c r="X50" s="245">
        <f t="shared" si="23"/>
        <v>18581.267695906074</v>
      </c>
      <c r="Y50" s="265"/>
    </row>
    <row r="51" spans="1:25">
      <c r="D51" s="34" t="str">
        <f t="shared" si="21"/>
        <v>Streetlight - MH 400W  - NR</v>
      </c>
      <c r="E51" s="245">
        <f t="shared" ref="E51:X51" si="24">SUM(E31,E41)*E$47*$Z$18</f>
        <v>17866.708744252042</v>
      </c>
      <c r="F51" s="245">
        <f t="shared" si="24"/>
        <v>22108.08407285943</v>
      </c>
      <c r="G51" s="245">
        <f t="shared" si="24"/>
        <v>25137.637879007558</v>
      </c>
      <c r="H51" s="245">
        <f t="shared" si="24"/>
        <v>27031.109007850147</v>
      </c>
      <c r="I51" s="245">
        <f t="shared" si="24"/>
        <v>28083.037412762693</v>
      </c>
      <c r="J51" s="245">
        <f t="shared" si="24"/>
        <v>28707.769837283478</v>
      </c>
      <c r="K51" s="245">
        <f t="shared" si="24"/>
        <v>28922.533469477985</v>
      </c>
      <c r="L51" s="245">
        <f t="shared" si="24"/>
        <v>29003.842882236997</v>
      </c>
      <c r="M51" s="245">
        <f t="shared" si="24"/>
        <v>29029.988431845097</v>
      </c>
      <c r="N51" s="245">
        <f t="shared" si="24"/>
        <v>29036.617871299783</v>
      </c>
      <c r="O51" s="245">
        <f t="shared" si="24"/>
        <v>29037.333890352715</v>
      </c>
      <c r="P51" s="245">
        <f t="shared" si="24"/>
        <v>29036.695451367108</v>
      </c>
      <c r="Q51" s="245">
        <f t="shared" si="24"/>
        <v>29035.916042351448</v>
      </c>
      <c r="R51" s="245">
        <f t="shared" si="24"/>
        <v>29035.236947328103</v>
      </c>
      <c r="S51" s="245">
        <f t="shared" si="24"/>
        <v>29034.702105868157</v>
      </c>
      <c r="T51" s="245">
        <f t="shared" si="24"/>
        <v>29034.288796812543</v>
      </c>
      <c r="U51" s="245">
        <f t="shared" si="24"/>
        <v>29033.985347824026</v>
      </c>
      <c r="V51" s="245">
        <f t="shared" si="24"/>
        <v>29033.726942405134</v>
      </c>
      <c r="W51" s="245">
        <f t="shared" si="24"/>
        <v>29033.47157897161</v>
      </c>
      <c r="X51" s="245">
        <f t="shared" si="24"/>
        <v>29033.230774853237</v>
      </c>
      <c r="Y51" s="265"/>
    </row>
    <row r="52" spans="1:25">
      <c r="D52" s="34" t="str">
        <f t="shared" si="21"/>
        <v>Streetlight - MH 1000W - NR</v>
      </c>
      <c r="E52" s="245">
        <f t="shared" ref="E52:X52" si="25">SUM(E32,E42)*E$47*$Z$18</f>
        <v>1429.3366995401634</v>
      </c>
      <c r="F52" s="245">
        <f t="shared" si="25"/>
        <v>1768.6467258287546</v>
      </c>
      <c r="G52" s="245">
        <f t="shared" si="25"/>
        <v>2011.011030320605</v>
      </c>
      <c r="H52" s="245">
        <f t="shared" si="25"/>
        <v>2162.4887206280118</v>
      </c>
      <c r="I52" s="245">
        <f t="shared" si="25"/>
        <v>2246.6429930210156</v>
      </c>
      <c r="J52" s="245">
        <f t="shared" si="25"/>
        <v>2296.6215869826779</v>
      </c>
      <c r="K52" s="245">
        <f t="shared" si="25"/>
        <v>2313.8026775582393</v>
      </c>
      <c r="L52" s="245">
        <f t="shared" si="25"/>
        <v>2320.3074305789601</v>
      </c>
      <c r="M52" s="245">
        <f t="shared" si="25"/>
        <v>2322.3990745476076</v>
      </c>
      <c r="N52" s="245">
        <f t="shared" si="25"/>
        <v>2322.9294297039828</v>
      </c>
      <c r="O52" s="245">
        <f t="shared" si="25"/>
        <v>2322.9867112282172</v>
      </c>
      <c r="P52" s="245">
        <f t="shared" si="25"/>
        <v>2322.9356361093687</v>
      </c>
      <c r="Q52" s="245">
        <f t="shared" si="25"/>
        <v>2322.8732833881159</v>
      </c>
      <c r="R52" s="245">
        <f t="shared" si="25"/>
        <v>2322.8189557862479</v>
      </c>
      <c r="S52" s="245">
        <f t="shared" si="25"/>
        <v>2322.7761684694533</v>
      </c>
      <c r="T52" s="245">
        <f t="shared" si="25"/>
        <v>2322.7431037450037</v>
      </c>
      <c r="U52" s="245">
        <f t="shared" si="25"/>
        <v>2322.7188278259223</v>
      </c>
      <c r="V52" s="245">
        <f t="shared" si="25"/>
        <v>2322.6981553924111</v>
      </c>
      <c r="W52" s="245">
        <f t="shared" si="25"/>
        <v>2322.6777263177287</v>
      </c>
      <c r="X52" s="245">
        <f t="shared" si="25"/>
        <v>2322.6584619882588</v>
      </c>
      <c r="Y52" s="265"/>
    </row>
    <row r="53" spans="1:25">
      <c r="D53" s="106"/>
      <c r="E53" s="245"/>
      <c r="F53" s="245"/>
      <c r="G53" s="245"/>
      <c r="H53" s="245"/>
      <c r="I53" s="245"/>
      <c r="J53" s="245"/>
      <c r="K53" s="245"/>
      <c r="L53" s="245"/>
      <c r="M53" s="245"/>
      <c r="N53" s="245"/>
      <c r="O53" s="245"/>
      <c r="P53" s="245"/>
      <c r="Q53" s="245"/>
      <c r="R53" s="245"/>
      <c r="S53" s="245"/>
      <c r="T53" s="245"/>
      <c r="U53" s="245"/>
      <c r="V53" s="245"/>
      <c r="W53" s="245"/>
      <c r="X53" s="245"/>
      <c r="Y53" s="265"/>
    </row>
    <row r="54" spans="1:25">
      <c r="D54" s="106" t="s">
        <v>992</v>
      </c>
      <c r="E54" s="245">
        <f>SUM(E48:E52)</f>
        <v>85535.591919624931</v>
      </c>
      <c r="F54" s="245">
        <f t="shared" ref="F54:X54" si="26">SUM(F48:F52)</f>
        <v>105840.87334995218</v>
      </c>
      <c r="G54" s="245">
        <f t="shared" si="26"/>
        <v>120344.6458001859</v>
      </c>
      <c r="H54" s="245">
        <f t="shared" si="26"/>
        <v>129409.50358158203</v>
      </c>
      <c r="I54" s="245">
        <f t="shared" si="26"/>
        <v>134445.53568235764</v>
      </c>
      <c r="J54" s="245">
        <f t="shared" si="26"/>
        <v>137436.39754100627</v>
      </c>
      <c r="K54" s="245">
        <f t="shared" si="26"/>
        <v>138464.56308987804</v>
      </c>
      <c r="L54" s="245">
        <f t="shared" si="26"/>
        <v>138853.8260956466</v>
      </c>
      <c r="M54" s="245">
        <f t="shared" si="26"/>
        <v>138978.9960468561</v>
      </c>
      <c r="N54" s="245">
        <f t="shared" si="26"/>
        <v>139010.73401471405</v>
      </c>
      <c r="O54" s="245">
        <f t="shared" si="26"/>
        <v>139014.16190478572</v>
      </c>
      <c r="P54" s="245">
        <f t="shared" si="26"/>
        <v>139011.10542374494</v>
      </c>
      <c r="Q54" s="245">
        <f t="shared" si="26"/>
        <v>139007.37405875453</v>
      </c>
      <c r="R54" s="245">
        <f t="shared" si="26"/>
        <v>139004.12293983702</v>
      </c>
      <c r="S54" s="245">
        <f t="shared" si="26"/>
        <v>139001.56242455053</v>
      </c>
      <c r="T54" s="245">
        <f t="shared" si="26"/>
        <v>138999.58373696884</v>
      </c>
      <c r="U54" s="245">
        <f t="shared" si="26"/>
        <v>138998.13099661126</v>
      </c>
      <c r="V54" s="245">
        <f t="shared" si="26"/>
        <v>138996.89389912583</v>
      </c>
      <c r="W54" s="245">
        <f t="shared" si="26"/>
        <v>138995.67136492807</v>
      </c>
      <c r="X54" s="245">
        <f t="shared" si="26"/>
        <v>138994.51853241169</v>
      </c>
      <c r="Y54" s="265"/>
    </row>
    <row r="55" spans="1:25">
      <c r="D55" s="106"/>
      <c r="E55" s="245"/>
      <c r="F55" s="245"/>
      <c r="G55" s="245"/>
      <c r="H55" s="245"/>
      <c r="I55" s="245"/>
      <c r="J55" s="245"/>
      <c r="K55" s="245"/>
      <c r="L55" s="245"/>
      <c r="M55" s="245"/>
      <c r="N55" s="245"/>
      <c r="O55" s="245"/>
      <c r="P55" s="245"/>
      <c r="Q55" s="245"/>
      <c r="R55" s="245"/>
      <c r="S55" s="245"/>
      <c r="T55" s="245"/>
      <c r="U55" s="245"/>
      <c r="V55" s="245"/>
      <c r="W55" s="245"/>
      <c r="X55" s="245"/>
      <c r="Y55" s="265"/>
    </row>
    <row r="56" spans="1:25">
      <c r="D56" s="106"/>
      <c r="E56" s="245"/>
      <c r="F56" s="245"/>
      <c r="G56" s="245"/>
      <c r="H56" s="245"/>
      <c r="I56" s="245"/>
      <c r="J56" s="245"/>
      <c r="K56" s="245"/>
      <c r="L56" s="245"/>
      <c r="M56" s="245"/>
      <c r="N56" s="245"/>
      <c r="O56" s="245"/>
      <c r="P56" s="245"/>
      <c r="Q56" s="245"/>
      <c r="R56" s="245"/>
      <c r="S56" s="245"/>
      <c r="T56" s="245"/>
      <c r="U56" s="245"/>
      <c r="V56" s="245"/>
      <c r="W56" s="245"/>
      <c r="X56" s="245"/>
      <c r="Y56" s="265"/>
    </row>
    <row r="57" spans="1:25" ht="15">
      <c r="A57" s="421" t="s">
        <v>993</v>
      </c>
      <c r="D57" s="406" t="str">
        <f>$C$8</f>
        <v>Street and Roadway Lighting-NR</v>
      </c>
      <c r="E57" s="406">
        <v>1</v>
      </c>
      <c r="F57" s="406">
        <v>2</v>
      </c>
      <c r="G57" s="406">
        <v>3</v>
      </c>
      <c r="H57" s="406">
        <v>4</v>
      </c>
      <c r="I57" s="406">
        <v>5</v>
      </c>
      <c r="J57" s="406">
        <v>6</v>
      </c>
      <c r="K57" s="406">
        <v>7</v>
      </c>
      <c r="L57" s="406">
        <v>8</v>
      </c>
      <c r="M57" s="406">
        <v>9</v>
      </c>
      <c r="N57" s="406">
        <v>10</v>
      </c>
      <c r="O57" s="406">
        <v>11</v>
      </c>
      <c r="P57" s="406">
        <v>12</v>
      </c>
      <c r="Q57" s="406">
        <v>13</v>
      </c>
      <c r="R57" s="406">
        <v>14</v>
      </c>
      <c r="S57" s="406">
        <v>15</v>
      </c>
      <c r="T57" s="406">
        <v>16</v>
      </c>
      <c r="U57" s="406">
        <v>17</v>
      </c>
      <c r="V57" s="406">
        <v>18</v>
      </c>
      <c r="W57" s="406">
        <v>19</v>
      </c>
      <c r="X57" s="406">
        <v>20</v>
      </c>
      <c r="Y57" s="265"/>
    </row>
    <row r="58" spans="1:25">
      <c r="A58" s="258" t="s">
        <v>971</v>
      </c>
      <c r="D58" s="34" t="str">
        <f>D28</f>
        <v>Streetlight - HPS 100W - NR</v>
      </c>
      <c r="E58" s="245">
        <f>E48</f>
        <v>44105.246728667902</v>
      </c>
      <c r="F58" s="245">
        <f>E58+F48</f>
        <v>98680.631411383743</v>
      </c>
      <c r="G58" s="245">
        <f t="shared" ref="G58:X62" si="27">F58+G48</f>
        <v>160734.68606127668</v>
      </c>
      <c r="H58" s="245">
        <f t="shared" si="27"/>
        <v>227462.90944065532</v>
      </c>
      <c r="I58" s="245">
        <f t="shared" si="27"/>
        <v>296787.89322530379</v>
      </c>
      <c r="J58" s="245">
        <f t="shared" si="27"/>
        <v>367655.07362362643</v>
      </c>
      <c r="K58" s="245">
        <f t="shared" si="27"/>
        <v>439052.41338828066</v>
      </c>
      <c r="L58" s="245">
        <f t="shared" si="27"/>
        <v>510650.47124614572</v>
      </c>
      <c r="M58" s="245">
        <f t="shared" si="27"/>
        <v>582313.07126075763</v>
      </c>
      <c r="N58" s="245">
        <f t="shared" si="27"/>
        <v>653992.03652019484</v>
      </c>
      <c r="O58" s="245">
        <f t="shared" si="27"/>
        <v>725672.76932380837</v>
      </c>
      <c r="P58" s="245">
        <f t="shared" si="27"/>
        <v>797351.92609518312</v>
      </c>
      <c r="Q58" s="245">
        <f t="shared" si="27"/>
        <v>869029.15883973066</v>
      </c>
      <c r="R58" s="245">
        <f t="shared" si="27"/>
        <v>940704.7151897063</v>
      </c>
      <c r="S58" s="245">
        <f t="shared" si="27"/>
        <v>1012378.9512453352</v>
      </c>
      <c r="T58" s="245">
        <f t="shared" si="27"/>
        <v>1084052.1670180382</v>
      </c>
      <c r="U58" s="245">
        <f t="shared" si="27"/>
        <v>1155724.6337052381</v>
      </c>
      <c r="V58" s="245">
        <f t="shared" si="27"/>
        <v>1227396.4625002039</v>
      </c>
      <c r="W58" s="245">
        <f t="shared" si="27"/>
        <v>1299067.6609122937</v>
      </c>
      <c r="X58" s="245">
        <f t="shared" si="27"/>
        <v>1370738.2648822172</v>
      </c>
      <c r="Y58" s="265"/>
    </row>
    <row r="59" spans="1:25">
      <c r="D59" s="34" t="str">
        <f t="shared" ref="D59:D62" si="28">D29</f>
        <v>Streetlight - MH 200W  - NR</v>
      </c>
      <c r="E59" s="245">
        <f t="shared" ref="E59:E62" si="29">E49</f>
        <v>10699.606150843509</v>
      </c>
      <c r="F59" s="245">
        <f t="shared" ref="F59:U62" si="30">E59+F49</f>
        <v>23939.190212761612</v>
      </c>
      <c r="G59" s="245">
        <f t="shared" si="30"/>
        <v>38993.04421116157</v>
      </c>
      <c r="H59" s="245">
        <f t="shared" si="30"/>
        <v>55180.816919862686</v>
      </c>
      <c r="I59" s="245">
        <f t="shared" si="30"/>
        <v>71998.544467619999</v>
      </c>
      <c r="J59" s="245">
        <f t="shared" si="30"/>
        <v>89190.397490176052</v>
      </c>
      <c r="K59" s="245">
        <f t="shared" si="30"/>
        <v>106510.86324789772</v>
      </c>
      <c r="L59" s="245">
        <f t="shared" si="30"/>
        <v>123880.02172823164</v>
      </c>
      <c r="M59" s="245">
        <f t="shared" si="30"/>
        <v>141264.8376577023</v>
      </c>
      <c r="N59" s="245">
        <f t="shared" si="30"/>
        <v>158653.62367434354</v>
      </c>
      <c r="O59" s="245">
        <f t="shared" si="30"/>
        <v>176042.83848410906</v>
      </c>
      <c r="P59" s="245">
        <f t="shared" si="30"/>
        <v>193431.67096012775</v>
      </c>
      <c r="Q59" s="245">
        <f t="shared" si="30"/>
        <v>210820.03668149022</v>
      </c>
      <c r="R59" s="245">
        <f t="shared" si="30"/>
        <v>228207.99572194729</v>
      </c>
      <c r="S59" s="245">
        <f t="shared" si="30"/>
        <v>245595.63446877577</v>
      </c>
      <c r="T59" s="245">
        <f t="shared" si="30"/>
        <v>262983.02570252406</v>
      </c>
      <c r="U59" s="245">
        <f t="shared" si="30"/>
        <v>280370.2352136781</v>
      </c>
      <c r="V59" s="245">
        <f t="shared" si="27"/>
        <v>297757.28997690126</v>
      </c>
      <c r="W59" s="245">
        <f t="shared" si="27"/>
        <v>315144.19181390828</v>
      </c>
      <c r="X59" s="245">
        <f t="shared" si="27"/>
        <v>332530.94944364898</v>
      </c>
      <c r="Y59" s="265"/>
    </row>
    <row r="60" spans="1:25">
      <c r="D60" s="34" t="str">
        <f t="shared" si="28"/>
        <v>Streetlight - HPS 250W - NR</v>
      </c>
      <c r="E60" s="245">
        <f t="shared" si="29"/>
        <v>11434.693596321311</v>
      </c>
      <c r="F60" s="245">
        <f t="shared" si="30"/>
        <v>25583.86740295135</v>
      </c>
      <c r="G60" s="245">
        <f t="shared" si="27"/>
        <v>41671.955645516187</v>
      </c>
      <c r="H60" s="245">
        <f t="shared" si="27"/>
        <v>58971.865410540282</v>
      </c>
      <c r="I60" s="245">
        <f t="shared" si="27"/>
        <v>76945.009354708411</v>
      </c>
      <c r="J60" s="245">
        <f t="shared" si="27"/>
        <v>95317.982050569844</v>
      </c>
      <c r="K60" s="245">
        <f t="shared" si="27"/>
        <v>113828.40347103577</v>
      </c>
      <c r="L60" s="245">
        <f t="shared" si="27"/>
        <v>132390.86291566744</v>
      </c>
      <c r="M60" s="245">
        <f t="shared" si="27"/>
        <v>150970.0555120483</v>
      </c>
      <c r="N60" s="245">
        <f t="shared" si="27"/>
        <v>169553.49094968016</v>
      </c>
      <c r="O60" s="245">
        <f t="shared" si="27"/>
        <v>188137.38463950591</v>
      </c>
      <c r="P60" s="245">
        <f t="shared" si="27"/>
        <v>206720.86972838087</v>
      </c>
      <c r="Q60" s="245">
        <f t="shared" si="27"/>
        <v>225303.85599548579</v>
      </c>
      <c r="R60" s="245">
        <f t="shared" si="27"/>
        <v>243886.40764177579</v>
      </c>
      <c r="S60" s="245">
        <f t="shared" si="27"/>
        <v>262468.61698953144</v>
      </c>
      <c r="T60" s="245">
        <f t="shared" si="27"/>
        <v>281050.56181949144</v>
      </c>
      <c r="U60" s="245">
        <f t="shared" si="27"/>
        <v>299632.3124420988</v>
      </c>
      <c r="V60" s="245">
        <f t="shared" si="27"/>
        <v>318213.8976852381</v>
      </c>
      <c r="W60" s="245">
        <f t="shared" si="27"/>
        <v>336795.31949577993</v>
      </c>
      <c r="X60" s="245">
        <f t="shared" si="27"/>
        <v>355376.58719168598</v>
      </c>
      <c r="Y60" s="265"/>
    </row>
    <row r="61" spans="1:25">
      <c r="D61" s="34" t="str">
        <f t="shared" si="28"/>
        <v>Streetlight - MH 400W  - NR</v>
      </c>
      <c r="E61" s="245">
        <f t="shared" si="29"/>
        <v>17866.708744252042</v>
      </c>
      <c r="F61" s="245">
        <f t="shared" si="30"/>
        <v>39974.792817111476</v>
      </c>
      <c r="G61" s="245">
        <f t="shared" si="27"/>
        <v>65112.43069611903</v>
      </c>
      <c r="H61" s="245">
        <f t="shared" si="27"/>
        <v>92143.539703969174</v>
      </c>
      <c r="I61" s="245">
        <f t="shared" si="27"/>
        <v>120226.57711673187</v>
      </c>
      <c r="J61" s="245">
        <f t="shared" si="27"/>
        <v>148934.34695401535</v>
      </c>
      <c r="K61" s="245">
        <f t="shared" si="27"/>
        <v>177856.88042349333</v>
      </c>
      <c r="L61" s="245">
        <f t="shared" si="27"/>
        <v>206860.72330573032</v>
      </c>
      <c r="M61" s="245">
        <f t="shared" si="27"/>
        <v>235890.71173757542</v>
      </c>
      <c r="N61" s="245">
        <f t="shared" si="27"/>
        <v>264927.32960887521</v>
      </c>
      <c r="O61" s="245">
        <f t="shared" si="27"/>
        <v>293964.6634992279</v>
      </c>
      <c r="P61" s="245">
        <f t="shared" si="27"/>
        <v>323001.35895059502</v>
      </c>
      <c r="Q61" s="245">
        <f t="shared" si="27"/>
        <v>352037.27499294648</v>
      </c>
      <c r="R61" s="245">
        <f t="shared" si="27"/>
        <v>381072.51194027456</v>
      </c>
      <c r="S61" s="245">
        <f t="shared" si="27"/>
        <v>410107.2140461427</v>
      </c>
      <c r="T61" s="245">
        <f t="shared" si="27"/>
        <v>439141.50284295523</v>
      </c>
      <c r="U61" s="245">
        <f t="shared" si="27"/>
        <v>468175.48819077923</v>
      </c>
      <c r="V61" s="245">
        <f t="shared" si="27"/>
        <v>497209.21513318433</v>
      </c>
      <c r="W61" s="245">
        <f t="shared" si="27"/>
        <v>526242.68671215593</v>
      </c>
      <c r="X61" s="245">
        <f t="shared" si="27"/>
        <v>555275.9174870092</v>
      </c>
      <c r="Y61" s="265"/>
    </row>
    <row r="62" spans="1:25">
      <c r="D62" s="34" t="str">
        <f t="shared" si="28"/>
        <v>Streetlight - MH 1000W - NR</v>
      </c>
      <c r="E62" s="245">
        <f t="shared" si="29"/>
        <v>1429.3366995401634</v>
      </c>
      <c r="F62" s="245">
        <f t="shared" si="30"/>
        <v>3197.9834253689178</v>
      </c>
      <c r="G62" s="245">
        <f t="shared" si="27"/>
        <v>5208.9944556895225</v>
      </c>
      <c r="H62" s="245">
        <f t="shared" si="27"/>
        <v>7371.4831763175343</v>
      </c>
      <c r="I62" s="245">
        <f t="shared" si="27"/>
        <v>9618.1261693385495</v>
      </c>
      <c r="J62" s="245">
        <f t="shared" si="27"/>
        <v>11914.747756321227</v>
      </c>
      <c r="K62" s="245">
        <f t="shared" si="27"/>
        <v>14228.550433879467</v>
      </c>
      <c r="L62" s="245">
        <f t="shared" si="27"/>
        <v>16548.857864458427</v>
      </c>
      <c r="M62" s="245">
        <f t="shared" si="27"/>
        <v>18871.256939006034</v>
      </c>
      <c r="N62" s="245">
        <f t="shared" si="27"/>
        <v>21194.186368710016</v>
      </c>
      <c r="O62" s="245">
        <f t="shared" si="27"/>
        <v>23517.173079938235</v>
      </c>
      <c r="P62" s="245">
        <f t="shared" si="27"/>
        <v>25840.108716047602</v>
      </c>
      <c r="Q62" s="245">
        <f t="shared" si="27"/>
        <v>28162.981999435717</v>
      </c>
      <c r="R62" s="245">
        <f t="shared" si="27"/>
        <v>30485.800955221966</v>
      </c>
      <c r="S62" s="245">
        <f t="shared" si="27"/>
        <v>32808.577123691422</v>
      </c>
      <c r="T62" s="245">
        <f t="shared" si="27"/>
        <v>35131.320227436423</v>
      </c>
      <c r="U62" s="245">
        <f t="shared" si="27"/>
        <v>37454.039055262343</v>
      </c>
      <c r="V62" s="245">
        <f t="shared" si="27"/>
        <v>39776.737210654755</v>
      </c>
      <c r="W62" s="245">
        <f t="shared" si="27"/>
        <v>42099.414936972484</v>
      </c>
      <c r="X62" s="245">
        <f t="shared" si="27"/>
        <v>44422.07339896074</v>
      </c>
      <c r="Y62" s="265"/>
    </row>
    <row r="63" spans="1:25">
      <c r="D63" s="106"/>
      <c r="Y63" s="265"/>
    </row>
    <row r="64" spans="1:25">
      <c r="D64" s="106" t="s">
        <v>992</v>
      </c>
      <c r="E64" s="245">
        <f>SUM(E58:E62)</f>
        <v>85535.591919624931</v>
      </c>
      <c r="F64" s="245">
        <f t="shared" ref="F64:X64" si="31">SUM(F58:F62)</f>
        <v>191376.46526957708</v>
      </c>
      <c r="G64" s="245">
        <f t="shared" si="31"/>
        <v>311721.11106976302</v>
      </c>
      <c r="H64" s="245">
        <f t="shared" si="31"/>
        <v>441130.61465134495</v>
      </c>
      <c r="I64" s="245">
        <f t="shared" si="31"/>
        <v>575576.15033370268</v>
      </c>
      <c r="J64" s="245">
        <f t="shared" si="31"/>
        <v>713012.54787470889</v>
      </c>
      <c r="K64" s="245">
        <f t="shared" si="31"/>
        <v>851477.11096458696</v>
      </c>
      <c r="L64" s="245">
        <f t="shared" si="31"/>
        <v>990330.93706023355</v>
      </c>
      <c r="M64" s="245">
        <f t="shared" si="31"/>
        <v>1129309.9331070897</v>
      </c>
      <c r="N64" s="245">
        <f t="shared" si="31"/>
        <v>1268320.6671218041</v>
      </c>
      <c r="O64" s="245">
        <f t="shared" si="31"/>
        <v>1407334.8290265894</v>
      </c>
      <c r="P64" s="245">
        <f t="shared" si="31"/>
        <v>1546345.9344503342</v>
      </c>
      <c r="Q64" s="245">
        <f t="shared" si="31"/>
        <v>1685353.3085090888</v>
      </c>
      <c r="R64" s="245">
        <f t="shared" si="31"/>
        <v>1824357.431448926</v>
      </c>
      <c r="S64" s="245">
        <f t="shared" si="31"/>
        <v>1963358.9938734763</v>
      </c>
      <c r="T64" s="245">
        <f t="shared" si="31"/>
        <v>2102358.5776104452</v>
      </c>
      <c r="U64" s="245">
        <f t="shared" si="31"/>
        <v>2241356.7086070566</v>
      </c>
      <c r="V64" s="245">
        <f t="shared" si="31"/>
        <v>2380353.6025061822</v>
      </c>
      <c r="W64" s="245">
        <f t="shared" si="31"/>
        <v>2519349.2738711103</v>
      </c>
      <c r="X64" s="245">
        <f t="shared" si="31"/>
        <v>2658343.7924035219</v>
      </c>
      <c r="Y64" s="265"/>
    </row>
    <row r="65" spans="1:33">
      <c r="D65" s="106"/>
      <c r="E65" s="245"/>
      <c r="F65" s="245"/>
      <c r="G65" s="245"/>
      <c r="H65" s="245"/>
      <c r="I65" s="245"/>
      <c r="J65" s="245"/>
      <c r="K65" s="245"/>
      <c r="L65" s="245"/>
      <c r="M65" s="245"/>
      <c r="N65" s="245"/>
      <c r="O65" s="245"/>
      <c r="P65" s="245"/>
      <c r="Q65" s="245"/>
      <c r="R65" s="245"/>
      <c r="S65" s="245"/>
      <c r="T65" s="245"/>
      <c r="U65" s="245"/>
      <c r="V65" s="245"/>
      <c r="W65" s="245"/>
      <c r="X65" s="245"/>
      <c r="Y65" s="265"/>
    </row>
    <row r="66" spans="1:33">
      <c r="AB66" s="166"/>
    </row>
    <row r="67" spans="1:33" ht="15">
      <c r="A67" s="421" t="s">
        <v>682</v>
      </c>
      <c r="C67" s="158"/>
      <c r="D67" s="422" t="s">
        <v>75</v>
      </c>
      <c r="E67" s="11" t="s">
        <v>431</v>
      </c>
      <c r="AE67" s="34"/>
    </row>
    <row r="68" spans="1:33" ht="15">
      <c r="A68" s="406" t="s">
        <v>997</v>
      </c>
      <c r="B68" s="406" t="s">
        <v>372</v>
      </c>
      <c r="C68" s="406"/>
      <c r="D68" s="406">
        <v>1</v>
      </c>
      <c r="E68" s="407">
        <f t="shared" ref="E68:X68" si="32">E11</f>
        <v>2016</v>
      </c>
      <c r="F68" s="407">
        <f t="shared" si="32"/>
        <v>2017</v>
      </c>
      <c r="G68" s="407">
        <f t="shared" si="32"/>
        <v>2018</v>
      </c>
      <c r="H68" s="407">
        <f t="shared" si="32"/>
        <v>2019</v>
      </c>
      <c r="I68" s="407">
        <f t="shared" si="32"/>
        <v>2020</v>
      </c>
      <c r="J68" s="407">
        <f t="shared" si="32"/>
        <v>2021</v>
      </c>
      <c r="K68" s="407">
        <f t="shared" si="32"/>
        <v>2022</v>
      </c>
      <c r="L68" s="407">
        <f t="shared" si="32"/>
        <v>2023</v>
      </c>
      <c r="M68" s="407">
        <f t="shared" si="32"/>
        <v>2024</v>
      </c>
      <c r="N68" s="407">
        <f t="shared" si="32"/>
        <v>2025</v>
      </c>
      <c r="O68" s="407">
        <f t="shared" si="32"/>
        <v>2026</v>
      </c>
      <c r="P68" s="407">
        <f t="shared" si="32"/>
        <v>2027</v>
      </c>
      <c r="Q68" s="407">
        <f t="shared" si="32"/>
        <v>2028</v>
      </c>
      <c r="R68" s="407">
        <f t="shared" si="32"/>
        <v>2029</v>
      </c>
      <c r="S68" s="407">
        <f t="shared" si="32"/>
        <v>2030</v>
      </c>
      <c r="T68" s="407">
        <f t="shared" si="32"/>
        <v>2031</v>
      </c>
      <c r="U68" s="407">
        <f t="shared" si="32"/>
        <v>2032</v>
      </c>
      <c r="V68" s="407">
        <f t="shared" si="32"/>
        <v>2033</v>
      </c>
      <c r="W68" s="407">
        <f t="shared" si="32"/>
        <v>2034</v>
      </c>
      <c r="X68" s="407">
        <f t="shared" si="32"/>
        <v>2035</v>
      </c>
      <c r="Y68" s="243"/>
    </row>
    <row r="69" spans="1:33" ht="15">
      <c r="A69" s="406" t="s">
        <v>663</v>
      </c>
      <c r="B69" s="406" t="s">
        <v>683</v>
      </c>
      <c r="C69" s="406" t="s">
        <v>998</v>
      </c>
      <c r="D69" s="406" t="s">
        <v>999</v>
      </c>
      <c r="E69" s="408" t="str">
        <f>CONCATENATE("aMW_",E$11)</f>
        <v>aMW_2016</v>
      </c>
      <c r="F69" s="408" t="str">
        <f t="shared" ref="F69:X69" si="33">CONCATENATE("aMW_",F$11)</f>
        <v>aMW_2017</v>
      </c>
      <c r="G69" s="408" t="str">
        <f t="shared" si="33"/>
        <v>aMW_2018</v>
      </c>
      <c r="H69" s="408" t="str">
        <f t="shared" si="33"/>
        <v>aMW_2019</v>
      </c>
      <c r="I69" s="408" t="str">
        <f t="shared" si="33"/>
        <v>aMW_2020</v>
      </c>
      <c r="J69" s="408" t="str">
        <f t="shared" si="33"/>
        <v>aMW_2021</v>
      </c>
      <c r="K69" s="408" t="str">
        <f t="shared" si="33"/>
        <v>aMW_2022</v>
      </c>
      <c r="L69" s="408" t="str">
        <f t="shared" si="33"/>
        <v>aMW_2023</v>
      </c>
      <c r="M69" s="408" t="str">
        <f t="shared" si="33"/>
        <v>aMW_2024</v>
      </c>
      <c r="N69" s="408" t="str">
        <f t="shared" si="33"/>
        <v>aMW_2025</v>
      </c>
      <c r="O69" s="408" t="str">
        <f t="shared" si="33"/>
        <v>aMW_2026</v>
      </c>
      <c r="P69" s="408" t="str">
        <f t="shared" si="33"/>
        <v>aMW_2027</v>
      </c>
      <c r="Q69" s="408" t="str">
        <f t="shared" si="33"/>
        <v>aMW_2028</v>
      </c>
      <c r="R69" s="408" t="str">
        <f t="shared" si="33"/>
        <v>aMW_2029</v>
      </c>
      <c r="S69" s="408" t="str">
        <f t="shared" si="33"/>
        <v>aMW_2030</v>
      </c>
      <c r="T69" s="408" t="str">
        <f t="shared" si="33"/>
        <v>aMW_2031</v>
      </c>
      <c r="U69" s="408" t="str">
        <f t="shared" si="33"/>
        <v>aMW_2032</v>
      </c>
      <c r="V69" s="408" t="str">
        <f t="shared" si="33"/>
        <v>aMW_2033</v>
      </c>
      <c r="W69" s="408" t="str">
        <f t="shared" si="33"/>
        <v>aMW_2034</v>
      </c>
      <c r="X69" s="408" t="str">
        <f t="shared" si="33"/>
        <v>aMW_2035</v>
      </c>
      <c r="Y69" s="243"/>
      <c r="Z69" s="410" t="s">
        <v>777</v>
      </c>
      <c r="AA69" s="11" t="s">
        <v>431</v>
      </c>
      <c r="AE69" s="34"/>
    </row>
    <row r="70" spans="1:33">
      <c r="A70" s="431">
        <f>VLOOKUP(C70,M_Input_Out!$A$1:$AM$3999,3,FALSE)</f>
        <v>345.42828990947618</v>
      </c>
      <c r="B70" s="432">
        <f>VLOOKUP(C70,M_Input_Out!$A$1:$AM$3999,11,FALSE)</f>
        <v>-80.053371425703361</v>
      </c>
      <c r="C70" s="34" t="str">
        <f>D28</f>
        <v>Streetlight - HPS 100W - NR</v>
      </c>
      <c r="D70" s="11" t="str">
        <f>$C$8</f>
        <v>Street and Roadway Lighting-NR</v>
      </c>
      <c r="E70" s="170">
        <f t="shared" ref="E70:X70" si="34">E48*$D$68*$A70/8760/1000</f>
        <v>1.7391780768857616</v>
      </c>
      <c r="F70" s="170">
        <f t="shared" si="34"/>
        <v>2.1520413016098581</v>
      </c>
      <c r="G70" s="170">
        <f t="shared" si="34"/>
        <v>2.4469436049842122</v>
      </c>
      <c r="H70" s="170">
        <f t="shared" si="34"/>
        <v>2.6312575445931849</v>
      </c>
      <c r="I70" s="170">
        <f t="shared" si="34"/>
        <v>2.7336541777092793</v>
      </c>
      <c r="J70" s="170">
        <f t="shared" si="34"/>
        <v>2.7944667734816142</v>
      </c>
      <c r="K70" s="170">
        <f t="shared" si="34"/>
        <v>2.8153722578756111</v>
      </c>
      <c r="L70" s="170">
        <f t="shared" si="34"/>
        <v>2.8232870646897332</v>
      </c>
      <c r="M70" s="170">
        <f t="shared" si="34"/>
        <v>2.8258321202641765</v>
      </c>
      <c r="N70" s="170">
        <f t="shared" si="34"/>
        <v>2.8264774420146277</v>
      </c>
      <c r="O70" s="170">
        <f t="shared" si="34"/>
        <v>2.8265471406176168</v>
      </c>
      <c r="P70" s="170">
        <f t="shared" si="34"/>
        <v>2.826484993800142</v>
      </c>
      <c r="Q70" s="170">
        <f t="shared" si="34"/>
        <v>2.8264091247023488</v>
      </c>
      <c r="R70" s="170">
        <f t="shared" si="34"/>
        <v>2.8263430203518705</v>
      </c>
      <c r="S70" s="170">
        <f t="shared" si="34"/>
        <v>2.8262909579068474</v>
      </c>
      <c r="T70" s="170">
        <f t="shared" si="34"/>
        <v>2.8262507256481366</v>
      </c>
      <c r="U70" s="170">
        <f t="shared" si="34"/>
        <v>2.826221187369105</v>
      </c>
      <c r="V70" s="170">
        <f t="shared" si="34"/>
        <v>2.8261960337134466</v>
      </c>
      <c r="W70" s="170">
        <f t="shared" si="34"/>
        <v>2.8261711761702037</v>
      </c>
      <c r="X70" s="170">
        <f t="shared" si="34"/>
        <v>2.8261477358573019</v>
      </c>
      <c r="Z70" s="412">
        <f>(VLOOKUP($C70,$D$28:$Z$32,$X$57+3,FALSE)+VLOOKUP($C70,$D$38:$Z$42,$X$57+3,FALSE))*$A70*$D$68/8760/1000</f>
        <v>14.410170152090497</v>
      </c>
      <c r="AA70" s="245">
        <f>AB70*AC70*AE70/8760/1000/1000</f>
        <v>25.535602337395424</v>
      </c>
      <c r="AB70" s="245">
        <f>$Y$21*AF70</f>
        <v>429928.64977048605</v>
      </c>
      <c r="AC70" s="166">
        <f>VLOOKUP(AD70,'Luminaires 7P'!$A$7:$AH$18,22,FALSE)</f>
        <v>4300</v>
      </c>
      <c r="AD70" s="34" t="s">
        <v>71</v>
      </c>
      <c r="AE70" s="11">
        <f>'Luminaires 7P'!E7</f>
        <v>121</v>
      </c>
      <c r="AF70" s="167">
        <f>B28</f>
        <v>0.54</v>
      </c>
      <c r="AG70" s="166">
        <f>AE70*AC70/1000</f>
        <v>520.29999999999995</v>
      </c>
    </row>
    <row r="71" spans="1:33">
      <c r="A71" s="431">
        <f>VLOOKUP(C71,M_Input_Out!$A$1:$AM$3999,3,FALSE)</f>
        <v>462.19278227324287</v>
      </c>
      <c r="B71" s="432">
        <f>VLOOKUP(C71,M_Input_Out!$A$1:$AM$3999,11,FALSE)</f>
        <v>-53.590920749329072</v>
      </c>
      <c r="C71" s="34" t="str">
        <f t="shared" ref="C71:C74" si="35">D29</f>
        <v>Streetlight - MH 200W  - NR</v>
      </c>
      <c r="D71" s="11" t="str">
        <f t="shared" ref="D71:D74" si="36">$C$8</f>
        <v>Street and Roadway Lighting-NR</v>
      </c>
      <c r="E71" s="170">
        <f t="shared" ref="E71:X71" si="37">E49*$D$68*$A71/8760/1000</f>
        <v>0.56452976439340918</v>
      </c>
      <c r="F71" s="170">
        <f t="shared" si="37"/>
        <v>0.69854340110940771</v>
      </c>
      <c r="G71" s="170">
        <f t="shared" si="37"/>
        <v>0.79426742733512057</v>
      </c>
      <c r="H71" s="170">
        <f t="shared" si="37"/>
        <v>0.85409494372619166</v>
      </c>
      <c r="I71" s="170">
        <f t="shared" si="37"/>
        <v>0.88733245283234208</v>
      </c>
      <c r="J71" s="170">
        <f t="shared" si="37"/>
        <v>0.90707196129313239</v>
      </c>
      <c r="K71" s="170">
        <f t="shared" si="37"/>
        <v>0.91385779210385987</v>
      </c>
      <c r="L71" s="170">
        <f t="shared" si="37"/>
        <v>0.9164269045400032</v>
      </c>
      <c r="M71" s="170">
        <f t="shared" si="37"/>
        <v>0.91725301869294951</v>
      </c>
      <c r="N71" s="170">
        <f t="shared" si="37"/>
        <v>0.91746248737277114</v>
      </c>
      <c r="O71" s="170">
        <f t="shared" si="37"/>
        <v>0.9174851112411645</v>
      </c>
      <c r="P71" s="170">
        <f t="shared" si="37"/>
        <v>0.91746493865004641</v>
      </c>
      <c r="Q71" s="170">
        <f t="shared" si="37"/>
        <v>0.91744031186543396</v>
      </c>
      <c r="R71" s="170">
        <f t="shared" si="37"/>
        <v>0.91741885467603113</v>
      </c>
      <c r="S71" s="170">
        <f t="shared" si="37"/>
        <v>0.91740195542907477</v>
      </c>
      <c r="T71" s="170">
        <f t="shared" si="37"/>
        <v>0.91738889620999153</v>
      </c>
      <c r="U71" s="170">
        <f t="shared" si="37"/>
        <v>0.91737930821096791</v>
      </c>
      <c r="V71" s="170">
        <f t="shared" si="37"/>
        <v>0.91737114344193671</v>
      </c>
      <c r="W71" s="170">
        <f t="shared" si="37"/>
        <v>0.91736307478972845</v>
      </c>
      <c r="X71" s="170">
        <f t="shared" si="37"/>
        <v>0.91735546616442698</v>
      </c>
      <c r="Z71" s="412">
        <f>(VLOOKUP($C71,$D$28:$Z$32,$X$57+3,FALSE)+VLOOKUP($C71,$D$38:$Z$42,$X$57+3,FALSE))*$A71*$D$68/8760/1000</f>
        <v>4.677479591621446</v>
      </c>
      <c r="AA71" s="245">
        <f t="shared" ref="AA71:AA74" si="38">AB71*AC71*AE71/8760/1000/1000</f>
        <v>11.775140777865383</v>
      </c>
      <c r="AB71" s="245">
        <f t="shared" ref="AB71:AB74" si="39">$Y$21*AF71</f>
        <v>104297.50577765495</v>
      </c>
      <c r="AC71" s="166">
        <f>VLOOKUP(AD71,'Luminaires 7P'!$A$7:$AH$18,22,FALSE)</f>
        <v>4300</v>
      </c>
      <c r="AD71" s="34" t="s">
        <v>524</v>
      </c>
      <c r="AE71" s="11">
        <f>'Luminaires 7P'!E11</f>
        <v>230</v>
      </c>
      <c r="AF71" s="167">
        <f t="shared" ref="AF71:AF74" si="40">B29</f>
        <v>0.13100000000000001</v>
      </c>
      <c r="AG71" s="166">
        <f t="shared" ref="AG71:AG74" si="41">AE71*AC71/1000</f>
        <v>989</v>
      </c>
    </row>
    <row r="72" spans="1:33">
      <c r="A72" s="431">
        <f>VLOOKUP(C72,M_Input_Out!$A$1:$AM$3999,3,FALSE)</f>
        <v>754.1040131826594</v>
      </c>
      <c r="B72" s="432">
        <f>VLOOKUP(C72,M_Input_Out!$A$1:$AM$3999,11,FALSE)</f>
        <v>-39.727260447917153</v>
      </c>
      <c r="C72" s="34" t="str">
        <f t="shared" si="35"/>
        <v>Streetlight - HPS 250W - NR</v>
      </c>
      <c r="D72" s="11" t="str">
        <f t="shared" si="36"/>
        <v>Street and Roadway Lighting-NR</v>
      </c>
      <c r="E72" s="170">
        <f t="shared" ref="E72:X72" si="42">E50*$D$68*$A72/8760/1000</f>
        <v>0.98435483224885345</v>
      </c>
      <c r="F72" s="170">
        <f t="shared" si="42"/>
        <v>1.2180306793149174</v>
      </c>
      <c r="G72" s="170">
        <f t="shared" si="42"/>
        <v>1.38494199864782</v>
      </c>
      <c r="H72" s="170">
        <f t="shared" si="42"/>
        <v>1.4892615732308847</v>
      </c>
      <c r="I72" s="170">
        <f t="shared" si="42"/>
        <v>1.5472168924436982</v>
      </c>
      <c r="J72" s="170">
        <f t="shared" si="42"/>
        <v>1.5816361237493752</v>
      </c>
      <c r="K72" s="170">
        <f t="shared" si="42"/>
        <v>1.5934683879994986</v>
      </c>
      <c r="L72" s="170">
        <f t="shared" si="42"/>
        <v>1.5979480778238713</v>
      </c>
      <c r="M72" s="170">
        <f t="shared" si="42"/>
        <v>1.5993885500712743</v>
      </c>
      <c r="N72" s="170">
        <f t="shared" si="42"/>
        <v>1.599753794776146</v>
      </c>
      <c r="O72" s="170">
        <f t="shared" si="42"/>
        <v>1.5997932433855584</v>
      </c>
      <c r="P72" s="170">
        <f t="shared" si="42"/>
        <v>1.599758069000081</v>
      </c>
      <c r="Q72" s="170">
        <f t="shared" si="42"/>
        <v>1.5997151279614241</v>
      </c>
      <c r="R72" s="170">
        <f t="shared" si="42"/>
        <v>1.5996777136576839</v>
      </c>
      <c r="S72" s="170">
        <f t="shared" si="42"/>
        <v>1.5996482469112838</v>
      </c>
      <c r="T72" s="170">
        <f t="shared" si="42"/>
        <v>1.5996254759145698</v>
      </c>
      <c r="U72" s="170">
        <f t="shared" si="42"/>
        <v>1.5996087575876263</v>
      </c>
      <c r="V72" s="170">
        <f t="shared" si="42"/>
        <v>1.5995945209071945</v>
      </c>
      <c r="W72" s="170">
        <f t="shared" si="42"/>
        <v>1.5995804518229901</v>
      </c>
      <c r="X72" s="170">
        <f t="shared" si="42"/>
        <v>1.5995671848748945</v>
      </c>
      <c r="Z72" s="412">
        <f>(VLOOKUP($C72,$D$28:$Z$32,$X$57+3,FALSE)+VLOOKUP($C72,$D$38:$Z$42,$X$57+3,FALSE))*$A72*$D$68/8760/1000</f>
        <v>8.1559909311518997</v>
      </c>
      <c r="AA72" s="245">
        <f t="shared" si="38"/>
        <v>15.866933806217542</v>
      </c>
      <c r="AB72" s="245">
        <f t="shared" si="39"/>
        <v>111462.98327382973</v>
      </c>
      <c r="AC72" s="166">
        <f>VLOOKUP(AD72,'Luminaires 7P'!$A$7:$AH$18,22,FALSE)</f>
        <v>4300</v>
      </c>
      <c r="AD72" s="34" t="s">
        <v>520</v>
      </c>
      <c r="AE72" s="11">
        <f>'Luminaires 7P'!E13</f>
        <v>290</v>
      </c>
      <c r="AF72" s="167">
        <f t="shared" si="40"/>
        <v>0.14000000000000001</v>
      </c>
      <c r="AG72" s="166">
        <f t="shared" si="41"/>
        <v>1247</v>
      </c>
    </row>
    <row r="73" spans="1:33">
      <c r="A73" s="431">
        <f>VLOOKUP(C73,M_Input_Out!$A$1:$AM$3999,3,FALSE)</f>
        <v>1352.5220365469634</v>
      </c>
      <c r="B73" s="432">
        <f>VLOOKUP(C73,M_Input_Out!$A$1:$AM$3999,11,FALSE)</f>
        <v>-17.759275560208927</v>
      </c>
      <c r="C73" s="34" t="str">
        <f t="shared" si="35"/>
        <v>Streetlight - MH 400W  - NR</v>
      </c>
      <c r="D73" s="11" t="str">
        <f t="shared" si="36"/>
        <v>Street and Roadway Lighting-NR</v>
      </c>
      <c r="E73" s="170">
        <f t="shared" ref="E73:X73" si="43">E51*$D$68*$A73/8760/1000</f>
        <v>2.7585750339231976</v>
      </c>
      <c r="F73" s="170">
        <f t="shared" si="43"/>
        <v>3.4134327504994659</v>
      </c>
      <c r="G73" s="170">
        <f t="shared" si="43"/>
        <v>3.881188262339657</v>
      </c>
      <c r="H73" s="170">
        <f t="shared" si="43"/>
        <v>4.1735354572397769</v>
      </c>
      <c r="I73" s="170">
        <f t="shared" si="43"/>
        <v>4.3359505655176216</v>
      </c>
      <c r="J73" s="170">
        <f t="shared" si="43"/>
        <v>4.4324076855073216</v>
      </c>
      <c r="K73" s="170">
        <f t="shared" si="43"/>
        <v>4.4655666518534334</v>
      </c>
      <c r="L73" s="170">
        <f t="shared" si="43"/>
        <v>4.4781206213209286</v>
      </c>
      <c r="M73" s="170">
        <f t="shared" si="43"/>
        <v>4.4821574286271586</v>
      </c>
      <c r="N73" s="170">
        <f t="shared" si="43"/>
        <v>4.4831809974573442</v>
      </c>
      <c r="O73" s="170">
        <f t="shared" si="43"/>
        <v>4.4832915490038827</v>
      </c>
      <c r="P73" s="170">
        <f t="shared" si="43"/>
        <v>4.4831929756252276</v>
      </c>
      <c r="Q73" s="170">
        <f t="shared" si="43"/>
        <v>4.4830726368273774</v>
      </c>
      <c r="R73" s="170">
        <f t="shared" si="43"/>
        <v>4.4829677862584294</v>
      </c>
      <c r="S73" s="170">
        <f t="shared" si="43"/>
        <v>4.4828852080779917</v>
      </c>
      <c r="T73" s="170">
        <f t="shared" si="43"/>
        <v>4.4828213941960708</v>
      </c>
      <c r="U73" s="170">
        <f t="shared" si="43"/>
        <v>4.4827745424330638</v>
      </c>
      <c r="V73" s="170">
        <f t="shared" si="43"/>
        <v>4.4827346452842729</v>
      </c>
      <c r="W73" s="170">
        <f t="shared" si="43"/>
        <v>4.4826952178103951</v>
      </c>
      <c r="X73" s="170">
        <f t="shared" si="43"/>
        <v>4.4826580382582728</v>
      </c>
      <c r="Z73" s="412">
        <f>(VLOOKUP($C73,$D$28:$Z$32,$X$57+3,FALSE)+VLOOKUP($C73,$D$38:$Z$42,$X$57+3,FALSE))*$A73*$D$68/8760/1000</f>
        <v>18.285205474679255</v>
      </c>
      <c r="AA73" s="245">
        <f t="shared" si="38"/>
        <v>31.323515876067383</v>
      </c>
      <c r="AB73" s="245">
        <f t="shared" si="39"/>
        <v>139328.72909228713</v>
      </c>
      <c r="AC73" s="166">
        <f>VLOOKUP(AD73,'Luminaires 7P'!$A$7:$AH$18,22,FALSE)</f>
        <v>4300</v>
      </c>
      <c r="AD73" s="34" t="s">
        <v>521</v>
      </c>
      <c r="AE73" s="11">
        <f>'Luminaires 7P'!E15</f>
        <v>458</v>
      </c>
      <c r="AF73" s="167">
        <f t="shared" si="40"/>
        <v>0.17499999999999999</v>
      </c>
      <c r="AG73" s="166">
        <f t="shared" si="41"/>
        <v>1969.4</v>
      </c>
    </row>
    <row r="74" spans="1:33">
      <c r="A74" s="431">
        <f>VLOOKUP(C74,M_Input_Out!$A$1:$AM$3999,3,FALSE)</f>
        <v>3303.4620964582305</v>
      </c>
      <c r="B74" s="432">
        <f>VLOOKUP(C74,M_Input_Out!$A$1:$AM$3999,11,FALSE)</f>
        <v>3.0779888377458473</v>
      </c>
      <c r="C74" s="34" t="str">
        <f t="shared" si="35"/>
        <v>Streetlight - MH 1000W - NR</v>
      </c>
      <c r="D74" s="11" t="str">
        <f t="shared" si="36"/>
        <v>Street and Roadway Lighting-NR</v>
      </c>
      <c r="E74" s="170">
        <f t="shared" ref="E74:X74" si="44">E52*$D$68*$A74/8760/1000</f>
        <v>0.53901365411046076</v>
      </c>
      <c r="F74" s="170">
        <f t="shared" si="44"/>
        <v>0.66697002520550708</v>
      </c>
      <c r="G74" s="170">
        <f t="shared" si="44"/>
        <v>0.75836743313054022</v>
      </c>
      <c r="H74" s="170">
        <f t="shared" si="44"/>
        <v>0.81549081308368587</v>
      </c>
      <c r="I74" s="170">
        <f t="shared" si="44"/>
        <v>0.84722602416876691</v>
      </c>
      <c r="J74" s="170">
        <f t="shared" si="44"/>
        <v>0.86607332905308509</v>
      </c>
      <c r="K74" s="170">
        <f t="shared" si="44"/>
        <v>0.87255244794488684</v>
      </c>
      <c r="L74" s="170">
        <f t="shared" si="44"/>
        <v>0.87500543938903885</v>
      </c>
      <c r="M74" s="170">
        <f t="shared" si="44"/>
        <v>0.87579421411160885</v>
      </c>
      <c r="N74" s="170">
        <f t="shared" si="44"/>
        <v>0.87599421504274433</v>
      </c>
      <c r="O74" s="170">
        <f t="shared" si="44"/>
        <v>0.87601581633773706</v>
      </c>
      <c r="P74" s="170">
        <f t="shared" si="44"/>
        <v>0.87599655552504441</v>
      </c>
      <c r="Q74" s="170">
        <f t="shared" si="44"/>
        <v>0.87597304184339264</v>
      </c>
      <c r="R74" s="170">
        <f t="shared" si="44"/>
        <v>0.87595255449481235</v>
      </c>
      <c r="S74" s="170">
        <f t="shared" si="44"/>
        <v>0.87593641907480779</v>
      </c>
      <c r="T74" s="170">
        <f t="shared" si="44"/>
        <v>0.87592395011773605</v>
      </c>
      <c r="U74" s="170">
        <f t="shared" si="44"/>
        <v>0.87591479548548223</v>
      </c>
      <c r="V74" s="170">
        <f t="shared" si="44"/>
        <v>0.87590699975482644</v>
      </c>
      <c r="W74" s="170">
        <f t="shared" si="44"/>
        <v>0.87589929579662096</v>
      </c>
      <c r="X74" s="170">
        <f t="shared" si="44"/>
        <v>0.87589203107262348</v>
      </c>
      <c r="Z74" s="412">
        <f>(VLOOKUP($C74,$D$28:$Z$32,$X$57+3,FALSE)+VLOOKUP($C74,$D$38:$Z$42,$X$57+3,FALSE))*$A74*$D$68/8760/1000</f>
        <v>3.5728502208078314</v>
      </c>
      <c r="AA74" s="245">
        <f t="shared" si="38"/>
        <v>6.0184921333928614</v>
      </c>
      <c r="AB74" s="245">
        <f t="shared" si="39"/>
        <v>11146.298327382972</v>
      </c>
      <c r="AC74" s="166">
        <f>VLOOKUP(AD74,'Luminaires 7P'!$A$7:$AH$18,22,FALSE)</f>
        <v>4300</v>
      </c>
      <c r="AD74" s="34" t="s">
        <v>522</v>
      </c>
      <c r="AE74" s="11">
        <f>'Luminaires 7P'!E17</f>
        <v>1100</v>
      </c>
      <c r="AF74" s="167">
        <f t="shared" si="40"/>
        <v>1.4E-2</v>
      </c>
      <c r="AG74" s="166">
        <f t="shared" si="41"/>
        <v>4730</v>
      </c>
    </row>
    <row r="75" spans="1:33">
      <c r="E75" s="170"/>
      <c r="F75" s="170"/>
      <c r="G75" s="170"/>
      <c r="H75" s="170"/>
      <c r="I75" s="170"/>
      <c r="J75" s="170"/>
      <c r="K75" s="170"/>
      <c r="L75" s="170"/>
      <c r="M75" s="170"/>
      <c r="N75" s="170"/>
      <c r="O75" s="170"/>
      <c r="P75" s="170"/>
      <c r="Q75" s="170"/>
      <c r="R75" s="170"/>
      <c r="S75" s="170"/>
      <c r="T75" s="170"/>
      <c r="U75" s="170"/>
      <c r="V75" s="170"/>
      <c r="W75" s="170"/>
      <c r="X75" s="170"/>
      <c r="Z75" s="428"/>
    </row>
    <row r="76" spans="1:33">
      <c r="B76" s="432">
        <f>SUMPRODUCT(B70:B74,A70:A74)/SUM(A70:A74)</f>
        <v>-15.477133330787959</v>
      </c>
      <c r="D76" s="11" t="s">
        <v>1000</v>
      </c>
      <c r="E76" s="166">
        <f>SUM(E70:E74)</f>
        <v>6.5856513615616823</v>
      </c>
      <c r="F76" s="166">
        <f t="shared" ref="F76:X76" si="45">SUM(F70:F74)</f>
        <v>8.1490181577391567</v>
      </c>
      <c r="G76" s="166">
        <f t="shared" si="45"/>
        <v>9.2657087264373512</v>
      </c>
      <c r="H76" s="166">
        <f t="shared" si="45"/>
        <v>9.9636403318737248</v>
      </c>
      <c r="I76" s="166">
        <f t="shared" si="45"/>
        <v>10.351380112671707</v>
      </c>
      <c r="J76" s="166">
        <f t="shared" si="45"/>
        <v>10.581655873084529</v>
      </c>
      <c r="K76" s="166">
        <f t="shared" si="45"/>
        <v>10.660817537777291</v>
      </c>
      <c r="L76" s="166">
        <f t="shared" si="45"/>
        <v>10.690788107763575</v>
      </c>
      <c r="M76" s="166">
        <f t="shared" si="45"/>
        <v>10.700425331767169</v>
      </c>
      <c r="N76" s="166">
        <f t="shared" si="45"/>
        <v>10.702868936663634</v>
      </c>
      <c r="O76" s="166">
        <f t="shared" si="45"/>
        <v>10.70313286058596</v>
      </c>
      <c r="P76" s="166">
        <f t="shared" si="45"/>
        <v>10.702897532600542</v>
      </c>
      <c r="Q76" s="166">
        <f t="shared" si="45"/>
        <v>10.702610243199977</v>
      </c>
      <c r="R76" s="166">
        <f t="shared" si="45"/>
        <v>10.702359929438828</v>
      </c>
      <c r="S76" s="166">
        <f t="shared" si="45"/>
        <v>10.702162787400006</v>
      </c>
      <c r="T76" s="166">
        <f t="shared" si="45"/>
        <v>10.702010442086506</v>
      </c>
      <c r="U76" s="166">
        <f t="shared" si="45"/>
        <v>10.701898591086245</v>
      </c>
      <c r="V76" s="166">
        <f t="shared" si="45"/>
        <v>10.701803343101679</v>
      </c>
      <c r="W76" s="166">
        <f t="shared" si="45"/>
        <v>10.70170921638994</v>
      </c>
      <c r="X76" s="166">
        <f t="shared" si="45"/>
        <v>10.70162045622752</v>
      </c>
      <c r="Z76" s="412">
        <f>SUM(Z70:Z74)</f>
        <v>49.101696370350929</v>
      </c>
      <c r="AA76" s="245">
        <f>SUM(AA70:AA74)</f>
        <v>90.51968493093861</v>
      </c>
      <c r="AG76" s="166">
        <f>SUMPRODUCT(AG70:AG74,AF70:AF74)</f>
        <v>995.96600000000001</v>
      </c>
    </row>
    <row r="79" spans="1:33" ht="15">
      <c r="A79" s="433" t="s">
        <v>684</v>
      </c>
      <c r="B79" s="433"/>
    </row>
    <row r="80" spans="1:33" ht="15">
      <c r="E80" s="407">
        <f>E11</f>
        <v>2016</v>
      </c>
      <c r="F80" s="407">
        <f t="shared" ref="F80:X80" si="46">F11</f>
        <v>2017</v>
      </c>
      <c r="G80" s="407">
        <f t="shared" si="46"/>
        <v>2018</v>
      </c>
      <c r="H80" s="407">
        <f t="shared" si="46"/>
        <v>2019</v>
      </c>
      <c r="I80" s="407">
        <f t="shared" si="46"/>
        <v>2020</v>
      </c>
      <c r="J80" s="407">
        <f t="shared" si="46"/>
        <v>2021</v>
      </c>
      <c r="K80" s="407">
        <f t="shared" si="46"/>
        <v>2022</v>
      </c>
      <c r="L80" s="407">
        <f t="shared" si="46"/>
        <v>2023</v>
      </c>
      <c r="M80" s="407">
        <f t="shared" si="46"/>
        <v>2024</v>
      </c>
      <c r="N80" s="407">
        <f t="shared" si="46"/>
        <v>2025</v>
      </c>
      <c r="O80" s="407">
        <f t="shared" si="46"/>
        <v>2026</v>
      </c>
      <c r="P80" s="407">
        <f t="shared" si="46"/>
        <v>2027</v>
      </c>
      <c r="Q80" s="407">
        <f t="shared" si="46"/>
        <v>2028</v>
      </c>
      <c r="R80" s="407">
        <f t="shared" si="46"/>
        <v>2029</v>
      </c>
      <c r="S80" s="407">
        <f t="shared" si="46"/>
        <v>2030</v>
      </c>
      <c r="T80" s="407">
        <f t="shared" si="46"/>
        <v>2031</v>
      </c>
      <c r="U80" s="407">
        <f t="shared" si="46"/>
        <v>2032</v>
      </c>
      <c r="V80" s="407">
        <f t="shared" si="46"/>
        <v>2033</v>
      </c>
      <c r="W80" s="407">
        <f t="shared" si="46"/>
        <v>2034</v>
      </c>
      <c r="X80" s="407">
        <f t="shared" si="46"/>
        <v>2035</v>
      </c>
      <c r="Y80" s="258"/>
    </row>
    <row r="81" spans="2:26" ht="15">
      <c r="C81" s="248" t="s">
        <v>683</v>
      </c>
      <c r="D81" s="248" t="s">
        <v>683</v>
      </c>
      <c r="E81" s="408" t="str">
        <f>CONCATENATE("aMW_",E$11)</f>
        <v>aMW_2016</v>
      </c>
      <c r="F81" s="408" t="str">
        <f t="shared" ref="F81:X81" si="47">CONCATENATE("aMW_",F$11)</f>
        <v>aMW_2017</v>
      </c>
      <c r="G81" s="408" t="str">
        <f t="shared" si="47"/>
        <v>aMW_2018</v>
      </c>
      <c r="H81" s="408" t="str">
        <f t="shared" si="47"/>
        <v>aMW_2019</v>
      </c>
      <c r="I81" s="408" t="str">
        <f t="shared" si="47"/>
        <v>aMW_2020</v>
      </c>
      <c r="J81" s="408" t="str">
        <f t="shared" si="47"/>
        <v>aMW_2021</v>
      </c>
      <c r="K81" s="408" t="str">
        <f t="shared" si="47"/>
        <v>aMW_2022</v>
      </c>
      <c r="L81" s="408" t="str">
        <f t="shared" si="47"/>
        <v>aMW_2023</v>
      </c>
      <c r="M81" s="408" t="str">
        <f t="shared" si="47"/>
        <v>aMW_2024</v>
      </c>
      <c r="N81" s="408" t="str">
        <f t="shared" si="47"/>
        <v>aMW_2025</v>
      </c>
      <c r="O81" s="408" t="str">
        <f t="shared" si="47"/>
        <v>aMW_2026</v>
      </c>
      <c r="P81" s="408" t="str">
        <f t="shared" si="47"/>
        <v>aMW_2027</v>
      </c>
      <c r="Q81" s="408" t="str">
        <f t="shared" si="47"/>
        <v>aMW_2028</v>
      </c>
      <c r="R81" s="408" t="str">
        <f t="shared" si="47"/>
        <v>aMW_2029</v>
      </c>
      <c r="S81" s="408" t="str">
        <f t="shared" si="47"/>
        <v>aMW_2030</v>
      </c>
      <c r="T81" s="408" t="str">
        <f t="shared" si="47"/>
        <v>aMW_2031</v>
      </c>
      <c r="U81" s="408" t="str">
        <f t="shared" si="47"/>
        <v>aMW_2032</v>
      </c>
      <c r="V81" s="408" t="str">
        <f t="shared" si="47"/>
        <v>aMW_2033</v>
      </c>
      <c r="W81" s="408" t="str">
        <f t="shared" si="47"/>
        <v>aMW_2034</v>
      </c>
      <c r="X81" s="408" t="str">
        <f t="shared" si="47"/>
        <v>aMW_2035</v>
      </c>
      <c r="Y81" s="271"/>
      <c r="Z81" s="410" t="s">
        <v>777</v>
      </c>
    </row>
    <row r="82" spans="2:26">
      <c r="B82" s="11" t="s">
        <v>640</v>
      </c>
      <c r="C82" s="272" t="s">
        <v>685</v>
      </c>
      <c r="D82" s="272" t="s">
        <v>686</v>
      </c>
      <c r="E82" s="247">
        <f>DSUM($B$69:$Z$74,E$69,$C$81:$D82)</f>
        <v>6.0466377074512216</v>
      </c>
      <c r="F82" s="247">
        <f>DSUM($B$69:$Z$74,F$69,$C$81:$D82)</f>
        <v>7.4820481325336488</v>
      </c>
      <c r="G82" s="247">
        <f>DSUM($B$69:$Z$74,G$69,$C$81:$D82)</f>
        <v>8.5073412933068102</v>
      </c>
      <c r="H82" s="247">
        <f>DSUM($B$69:$Z$74,H$69,$C$81:$D82)</f>
        <v>9.1481495187900386</v>
      </c>
      <c r="I82" s="247">
        <f>DSUM($B$69:$Z$74,I$69,$C$81:$D82)</f>
        <v>9.5041540885029399</v>
      </c>
      <c r="J82" s="247">
        <f>DSUM($B$69:$Z$74,J$69,$C$81:$D82)</f>
        <v>9.7155825440314434</v>
      </c>
      <c r="K82" s="247">
        <f>DSUM($B$69:$Z$74,K$69,$C$81:$D82)</f>
        <v>9.7882650898324037</v>
      </c>
      <c r="L82" s="247">
        <f>DSUM($B$69:$Z$74,L$69,$C$81:$D82)</f>
        <v>9.8157826683745366</v>
      </c>
      <c r="M82" s="247">
        <f>DSUM($B$69:$Z$74,M$69,$C$81:$D82)</f>
        <v>9.8246311176555601</v>
      </c>
      <c r="N82" s="247">
        <f>DSUM($B$69:$Z$74,N$69,$C$81:$D82)</f>
        <v>9.8268747216208894</v>
      </c>
      <c r="O82" s="247">
        <f>DSUM($B$69:$Z$74,O$69,$C$81:$D82)</f>
        <v>9.8271170442482223</v>
      </c>
      <c r="P82" s="247">
        <f>DSUM($B$69:$Z$74,P$69,$C$81:$D82)</f>
        <v>9.8269009770754963</v>
      </c>
      <c r="Q82" s="247">
        <f>DSUM($B$69:$Z$74,Q$69,$C$81:$D82)</f>
        <v>9.8266372013565846</v>
      </c>
      <c r="R82" s="247">
        <f>DSUM($B$69:$Z$74,R$69,$C$81:$D82)</f>
        <v>9.8264073749440151</v>
      </c>
      <c r="S82" s="247">
        <f>DSUM($B$69:$Z$74,S$69,$C$81:$D82)</f>
        <v>9.826226368325198</v>
      </c>
      <c r="T82" s="247">
        <f>DSUM($B$69:$Z$74,T$69,$C$81:$D82)</f>
        <v>9.8260864919687698</v>
      </c>
      <c r="U82" s="247">
        <f>DSUM($B$69:$Z$74,U$69,$C$81:$D82)</f>
        <v>9.825983795600763</v>
      </c>
      <c r="V82" s="247">
        <f>DSUM($B$69:$Z$74,V$69,$C$81:$D82)</f>
        <v>9.8258963433468516</v>
      </c>
      <c r="W82" s="247">
        <f>DSUM($B$69:$Z$74,W$69,$C$81:$D82)</f>
        <v>9.8258099205933185</v>
      </c>
      <c r="X82" s="247">
        <f>DSUM($B$69:$Z$74,X$69,$C$81:$D82)</f>
        <v>9.825728425154896</v>
      </c>
      <c r="Y82" s="247"/>
      <c r="Z82" s="166">
        <f>DSUM($B$69:$Z$74,Z$69,$C$81:$D82)</f>
        <v>45.528846149543099</v>
      </c>
    </row>
    <row r="83" spans="2:26">
      <c r="B83" s="11" t="s">
        <v>641</v>
      </c>
      <c r="C83" s="272" t="s">
        <v>687</v>
      </c>
      <c r="D83" s="272" t="s">
        <v>688</v>
      </c>
      <c r="E83" s="247">
        <f>DSUM($B$69:$Z$74,E$69,$C$81:$D83)</f>
        <v>6.5856513615616823</v>
      </c>
      <c r="F83" s="247">
        <f>DSUM($B$69:$Z$74,F$69,$C$81:$D83)</f>
        <v>8.1490181577391567</v>
      </c>
      <c r="G83" s="247">
        <f>DSUM($B$69:$Z$74,G$69,$C$81:$D83)</f>
        <v>9.2657087264373512</v>
      </c>
      <c r="H83" s="247">
        <f>DSUM($B$69:$Z$74,H$69,$C$81:$D83)</f>
        <v>9.9636403318737248</v>
      </c>
      <c r="I83" s="247">
        <f>DSUM($B$69:$Z$74,I$69,$C$81:$D83)</f>
        <v>10.351380112671707</v>
      </c>
      <c r="J83" s="247">
        <f>DSUM($B$69:$Z$74,J$69,$C$81:$D83)</f>
        <v>10.581655873084529</v>
      </c>
      <c r="K83" s="247">
        <f>DSUM($B$69:$Z$74,K$69,$C$81:$D83)</f>
        <v>10.660817537777291</v>
      </c>
      <c r="L83" s="247">
        <f>DSUM($B$69:$Z$74,L$69,$C$81:$D83)</f>
        <v>10.690788107763575</v>
      </c>
      <c r="M83" s="247">
        <f>DSUM($B$69:$Z$74,M$69,$C$81:$D83)</f>
        <v>10.700425331767169</v>
      </c>
      <c r="N83" s="247">
        <f>DSUM($B$69:$Z$74,N$69,$C$81:$D83)</f>
        <v>10.702868936663634</v>
      </c>
      <c r="O83" s="247">
        <f>DSUM($B$69:$Z$74,O$69,$C$81:$D83)</f>
        <v>10.70313286058596</v>
      </c>
      <c r="P83" s="247">
        <f>DSUM($B$69:$Z$74,P$69,$C$81:$D83)</f>
        <v>10.702897532600542</v>
      </c>
      <c r="Q83" s="247">
        <f>DSUM($B$69:$Z$74,Q$69,$C$81:$D83)</f>
        <v>10.702610243199977</v>
      </c>
      <c r="R83" s="247">
        <f>DSUM($B$69:$Z$74,R$69,$C$81:$D83)</f>
        <v>10.702359929438828</v>
      </c>
      <c r="S83" s="247">
        <f>DSUM($B$69:$Z$74,S$69,$C$81:$D83)</f>
        <v>10.702162787400006</v>
      </c>
      <c r="T83" s="247">
        <f>DSUM($B$69:$Z$74,T$69,$C$81:$D83)</f>
        <v>10.702010442086506</v>
      </c>
      <c r="U83" s="247">
        <f>DSUM($B$69:$Z$74,U$69,$C$81:$D83)</f>
        <v>10.701898591086245</v>
      </c>
      <c r="V83" s="247">
        <f>DSUM($B$69:$Z$74,V$69,$C$81:$D83)</f>
        <v>10.701803343101679</v>
      </c>
      <c r="W83" s="247">
        <f>DSUM($B$69:$Z$74,W$69,$C$81:$D83)</f>
        <v>10.70170921638994</v>
      </c>
      <c r="X83" s="247">
        <f>DSUM($B$69:$Z$74,X$69,$C$81:$D83)</f>
        <v>10.70162045622752</v>
      </c>
      <c r="Y83" s="247"/>
      <c r="Z83" s="166">
        <f>DSUM($B$69:$Z$74,Z$69,$C$81:$D83)</f>
        <v>49.101696370350929</v>
      </c>
    </row>
    <row r="84" spans="2:26">
      <c r="B84" s="11" t="s">
        <v>642</v>
      </c>
      <c r="C84" s="272" t="s">
        <v>689</v>
      </c>
      <c r="D84" s="272" t="s">
        <v>690</v>
      </c>
      <c r="E84" s="247">
        <f>DSUM($B$69:$Z$74,E$69,$C$81:$D84)</f>
        <v>6.5856513615616823</v>
      </c>
      <c r="F84" s="247">
        <f>DSUM($B$69:$Z$74,F$69,$C$81:$D84)</f>
        <v>8.1490181577391567</v>
      </c>
      <c r="G84" s="247">
        <f>DSUM($B$69:$Z$74,G$69,$C$81:$D84)</f>
        <v>9.2657087264373512</v>
      </c>
      <c r="H84" s="247">
        <f>DSUM($B$69:$Z$74,H$69,$C$81:$D84)</f>
        <v>9.9636403318737248</v>
      </c>
      <c r="I84" s="247">
        <f>DSUM($B$69:$Z$74,I$69,$C$81:$D84)</f>
        <v>10.351380112671707</v>
      </c>
      <c r="J84" s="247">
        <f>DSUM($B$69:$Z$74,J$69,$C$81:$D84)</f>
        <v>10.581655873084529</v>
      </c>
      <c r="K84" s="247">
        <f>DSUM($B$69:$Z$74,K$69,$C$81:$D84)</f>
        <v>10.660817537777291</v>
      </c>
      <c r="L84" s="247">
        <f>DSUM($B$69:$Z$74,L$69,$C$81:$D84)</f>
        <v>10.690788107763575</v>
      </c>
      <c r="M84" s="247">
        <f>DSUM($B$69:$Z$74,M$69,$C$81:$D84)</f>
        <v>10.700425331767169</v>
      </c>
      <c r="N84" s="247">
        <f>DSUM($B$69:$Z$74,N$69,$C$81:$D84)</f>
        <v>10.702868936663634</v>
      </c>
      <c r="O84" s="247">
        <f>DSUM($B$69:$Z$74,O$69,$C$81:$D84)</f>
        <v>10.70313286058596</v>
      </c>
      <c r="P84" s="247">
        <f>DSUM($B$69:$Z$74,P$69,$C$81:$D84)</f>
        <v>10.702897532600542</v>
      </c>
      <c r="Q84" s="247">
        <f>DSUM($B$69:$Z$74,Q$69,$C$81:$D84)</f>
        <v>10.702610243199977</v>
      </c>
      <c r="R84" s="247">
        <f>DSUM($B$69:$Z$74,R$69,$C$81:$D84)</f>
        <v>10.702359929438828</v>
      </c>
      <c r="S84" s="247">
        <f>DSUM($B$69:$Z$74,S$69,$C$81:$D84)</f>
        <v>10.702162787400006</v>
      </c>
      <c r="T84" s="247">
        <f>DSUM($B$69:$Z$74,T$69,$C$81:$D84)</f>
        <v>10.702010442086506</v>
      </c>
      <c r="U84" s="247">
        <f>DSUM($B$69:$Z$74,U$69,$C$81:$D84)</f>
        <v>10.701898591086245</v>
      </c>
      <c r="V84" s="247">
        <f>DSUM($B$69:$Z$74,V$69,$C$81:$D84)</f>
        <v>10.701803343101679</v>
      </c>
      <c r="W84" s="247">
        <f>DSUM($B$69:$Z$74,W$69,$C$81:$D84)</f>
        <v>10.70170921638994</v>
      </c>
      <c r="X84" s="247">
        <f>DSUM($B$69:$Z$74,X$69,$C$81:$D84)</f>
        <v>10.70162045622752</v>
      </c>
      <c r="Y84" s="247"/>
      <c r="Z84" s="166">
        <f>DSUM($B$69:$Z$74,Z$69,$C$81:$D84)</f>
        <v>49.101696370350929</v>
      </c>
    </row>
    <row r="85" spans="2:26">
      <c r="B85" s="11" t="s">
        <v>643</v>
      </c>
      <c r="C85" s="272" t="s">
        <v>691</v>
      </c>
      <c r="D85" s="272" t="s">
        <v>692</v>
      </c>
      <c r="E85" s="247">
        <f>DSUM($B$69:$Z$74,E$69,$C$81:$D85)</f>
        <v>6.5856513615616823</v>
      </c>
      <c r="F85" s="247">
        <f>DSUM($B$69:$Z$74,F$69,$C$81:$D85)</f>
        <v>8.1490181577391567</v>
      </c>
      <c r="G85" s="247">
        <f>DSUM($B$69:$Z$74,G$69,$C$81:$D85)</f>
        <v>9.2657087264373512</v>
      </c>
      <c r="H85" s="247">
        <f>DSUM($B$69:$Z$74,H$69,$C$81:$D85)</f>
        <v>9.9636403318737248</v>
      </c>
      <c r="I85" s="247">
        <f>DSUM($B$69:$Z$74,I$69,$C$81:$D85)</f>
        <v>10.351380112671707</v>
      </c>
      <c r="J85" s="247">
        <f>DSUM($B$69:$Z$74,J$69,$C$81:$D85)</f>
        <v>10.581655873084529</v>
      </c>
      <c r="K85" s="247">
        <f>DSUM($B$69:$Z$74,K$69,$C$81:$D85)</f>
        <v>10.660817537777291</v>
      </c>
      <c r="L85" s="247">
        <f>DSUM($B$69:$Z$74,L$69,$C$81:$D85)</f>
        <v>10.690788107763575</v>
      </c>
      <c r="M85" s="247">
        <f>DSUM($B$69:$Z$74,M$69,$C$81:$D85)</f>
        <v>10.700425331767169</v>
      </c>
      <c r="N85" s="247">
        <f>DSUM($B$69:$Z$74,N$69,$C$81:$D85)</f>
        <v>10.702868936663634</v>
      </c>
      <c r="O85" s="247">
        <f>DSUM($B$69:$Z$74,O$69,$C$81:$D85)</f>
        <v>10.70313286058596</v>
      </c>
      <c r="P85" s="247">
        <f>DSUM($B$69:$Z$74,P$69,$C$81:$D85)</f>
        <v>10.702897532600542</v>
      </c>
      <c r="Q85" s="247">
        <f>DSUM($B$69:$Z$74,Q$69,$C$81:$D85)</f>
        <v>10.702610243199977</v>
      </c>
      <c r="R85" s="247">
        <f>DSUM($B$69:$Z$74,R$69,$C$81:$D85)</f>
        <v>10.702359929438828</v>
      </c>
      <c r="S85" s="247">
        <f>DSUM($B$69:$Z$74,S$69,$C$81:$D85)</f>
        <v>10.702162787400006</v>
      </c>
      <c r="T85" s="247">
        <f>DSUM($B$69:$Z$74,T$69,$C$81:$D85)</f>
        <v>10.702010442086506</v>
      </c>
      <c r="U85" s="247">
        <f>DSUM($B$69:$Z$74,U$69,$C$81:$D85)</f>
        <v>10.701898591086245</v>
      </c>
      <c r="V85" s="247">
        <f>DSUM($B$69:$Z$74,V$69,$C$81:$D85)</f>
        <v>10.701803343101679</v>
      </c>
      <c r="W85" s="247">
        <f>DSUM($B$69:$Z$74,W$69,$C$81:$D85)</f>
        <v>10.70170921638994</v>
      </c>
      <c r="X85" s="247">
        <f>DSUM($B$69:$Z$74,X$69,$C$81:$D85)</f>
        <v>10.70162045622752</v>
      </c>
      <c r="Y85" s="247"/>
      <c r="Z85" s="166">
        <f>DSUM($B$69:$Z$74,Z$69,$C$81:$D85)</f>
        <v>49.101696370350929</v>
      </c>
    </row>
    <row r="86" spans="2:26">
      <c r="B86" s="11" t="s">
        <v>644</v>
      </c>
      <c r="C86" s="272" t="s">
        <v>693</v>
      </c>
      <c r="D86" s="272" t="s">
        <v>694</v>
      </c>
      <c r="E86" s="247">
        <f>DSUM($B$69:$Z$74,E$69,$C$81:$D86)</f>
        <v>6.5856513615616823</v>
      </c>
      <c r="F86" s="247">
        <f>DSUM($B$69:$Z$74,F$69,$C$81:$D86)</f>
        <v>8.1490181577391567</v>
      </c>
      <c r="G86" s="247">
        <f>DSUM($B$69:$Z$74,G$69,$C$81:$D86)</f>
        <v>9.2657087264373512</v>
      </c>
      <c r="H86" s="247">
        <f>DSUM($B$69:$Z$74,H$69,$C$81:$D86)</f>
        <v>9.9636403318737248</v>
      </c>
      <c r="I86" s="247">
        <f>DSUM($B$69:$Z$74,I$69,$C$81:$D86)</f>
        <v>10.351380112671707</v>
      </c>
      <c r="J86" s="247">
        <f>DSUM($B$69:$Z$74,J$69,$C$81:$D86)</f>
        <v>10.581655873084529</v>
      </c>
      <c r="K86" s="247">
        <f>DSUM($B$69:$Z$74,K$69,$C$81:$D86)</f>
        <v>10.660817537777291</v>
      </c>
      <c r="L86" s="247">
        <f>DSUM($B$69:$Z$74,L$69,$C$81:$D86)</f>
        <v>10.690788107763575</v>
      </c>
      <c r="M86" s="247">
        <f>DSUM($B$69:$Z$74,M$69,$C$81:$D86)</f>
        <v>10.700425331767169</v>
      </c>
      <c r="N86" s="247">
        <f>DSUM($B$69:$Z$74,N$69,$C$81:$D86)</f>
        <v>10.702868936663634</v>
      </c>
      <c r="O86" s="247">
        <f>DSUM($B$69:$Z$74,O$69,$C$81:$D86)</f>
        <v>10.70313286058596</v>
      </c>
      <c r="P86" s="247">
        <f>DSUM($B$69:$Z$74,P$69,$C$81:$D86)</f>
        <v>10.702897532600542</v>
      </c>
      <c r="Q86" s="247">
        <f>DSUM($B$69:$Z$74,Q$69,$C$81:$D86)</f>
        <v>10.702610243199977</v>
      </c>
      <c r="R86" s="247">
        <f>DSUM($B$69:$Z$74,R$69,$C$81:$D86)</f>
        <v>10.702359929438828</v>
      </c>
      <c r="S86" s="247">
        <f>DSUM($B$69:$Z$74,S$69,$C$81:$D86)</f>
        <v>10.702162787400006</v>
      </c>
      <c r="T86" s="247">
        <f>DSUM($B$69:$Z$74,T$69,$C$81:$D86)</f>
        <v>10.702010442086506</v>
      </c>
      <c r="U86" s="247">
        <f>DSUM($B$69:$Z$74,U$69,$C$81:$D86)</f>
        <v>10.701898591086245</v>
      </c>
      <c r="V86" s="247">
        <f>DSUM($B$69:$Z$74,V$69,$C$81:$D86)</f>
        <v>10.701803343101679</v>
      </c>
      <c r="W86" s="247">
        <f>DSUM($B$69:$Z$74,W$69,$C$81:$D86)</f>
        <v>10.70170921638994</v>
      </c>
      <c r="X86" s="247">
        <f>DSUM($B$69:$Z$74,X$69,$C$81:$D86)</f>
        <v>10.70162045622752</v>
      </c>
      <c r="Y86" s="247"/>
      <c r="Z86" s="166">
        <f>DSUM($B$69:$Z$74,Z$69,$C$81:$D86)</f>
        <v>49.101696370350929</v>
      </c>
    </row>
    <row r="87" spans="2:26">
      <c r="B87" s="11" t="s">
        <v>645</v>
      </c>
      <c r="C87" s="272" t="s">
        <v>695</v>
      </c>
      <c r="D87" s="272" t="s">
        <v>696</v>
      </c>
      <c r="E87" s="247">
        <f>DSUM($B$69:$Z$74,E$69,$C$81:$D87)</f>
        <v>6.5856513615616823</v>
      </c>
      <c r="F87" s="247">
        <f>DSUM($B$69:$Z$74,F$69,$C$81:$D87)</f>
        <v>8.1490181577391567</v>
      </c>
      <c r="G87" s="247">
        <f>DSUM($B$69:$Z$74,G$69,$C$81:$D87)</f>
        <v>9.2657087264373512</v>
      </c>
      <c r="H87" s="247">
        <f>DSUM($B$69:$Z$74,H$69,$C$81:$D87)</f>
        <v>9.9636403318737248</v>
      </c>
      <c r="I87" s="247">
        <f>DSUM($B$69:$Z$74,I$69,$C$81:$D87)</f>
        <v>10.351380112671707</v>
      </c>
      <c r="J87" s="247">
        <f>DSUM($B$69:$Z$74,J$69,$C$81:$D87)</f>
        <v>10.581655873084529</v>
      </c>
      <c r="K87" s="247">
        <f>DSUM($B$69:$Z$74,K$69,$C$81:$D87)</f>
        <v>10.660817537777291</v>
      </c>
      <c r="L87" s="247">
        <f>DSUM($B$69:$Z$74,L$69,$C$81:$D87)</f>
        <v>10.690788107763575</v>
      </c>
      <c r="M87" s="247">
        <f>DSUM($B$69:$Z$74,M$69,$C$81:$D87)</f>
        <v>10.700425331767169</v>
      </c>
      <c r="N87" s="247">
        <f>DSUM($B$69:$Z$74,N$69,$C$81:$D87)</f>
        <v>10.702868936663634</v>
      </c>
      <c r="O87" s="247">
        <f>DSUM($B$69:$Z$74,O$69,$C$81:$D87)</f>
        <v>10.70313286058596</v>
      </c>
      <c r="P87" s="247">
        <f>DSUM($B$69:$Z$74,P$69,$C$81:$D87)</f>
        <v>10.702897532600542</v>
      </c>
      <c r="Q87" s="247">
        <f>DSUM($B$69:$Z$74,Q$69,$C$81:$D87)</f>
        <v>10.702610243199977</v>
      </c>
      <c r="R87" s="247">
        <f>DSUM($B$69:$Z$74,R$69,$C$81:$D87)</f>
        <v>10.702359929438828</v>
      </c>
      <c r="S87" s="247">
        <f>DSUM($B$69:$Z$74,S$69,$C$81:$D87)</f>
        <v>10.702162787400006</v>
      </c>
      <c r="T87" s="247">
        <f>DSUM($B$69:$Z$74,T$69,$C$81:$D87)</f>
        <v>10.702010442086506</v>
      </c>
      <c r="U87" s="247">
        <f>DSUM($B$69:$Z$74,U$69,$C$81:$D87)</f>
        <v>10.701898591086245</v>
      </c>
      <c r="V87" s="247">
        <f>DSUM($B$69:$Z$74,V$69,$C$81:$D87)</f>
        <v>10.701803343101679</v>
      </c>
      <c r="W87" s="247">
        <f>DSUM($B$69:$Z$74,W$69,$C$81:$D87)</f>
        <v>10.70170921638994</v>
      </c>
      <c r="X87" s="247">
        <f>DSUM($B$69:$Z$74,X$69,$C$81:$D87)</f>
        <v>10.70162045622752</v>
      </c>
      <c r="Y87" s="247"/>
      <c r="Z87" s="166">
        <f>DSUM($B$69:$Z$74,Z$69,$C$81:$D87)</f>
        <v>49.101696370350929</v>
      </c>
    </row>
    <row r="88" spans="2:26">
      <c r="B88" s="11" t="s">
        <v>646</v>
      </c>
      <c r="C88" s="272" t="s">
        <v>697</v>
      </c>
      <c r="D88" s="272" t="s">
        <v>698</v>
      </c>
      <c r="E88" s="247">
        <f>DSUM($B$69:$Z$74,E$69,$C$81:$D88)</f>
        <v>6.5856513615616823</v>
      </c>
      <c r="F88" s="247">
        <f>DSUM($B$69:$Z$74,F$69,$C$81:$D88)</f>
        <v>8.1490181577391567</v>
      </c>
      <c r="G88" s="247">
        <f>DSUM($B$69:$Z$74,G$69,$C$81:$D88)</f>
        <v>9.2657087264373512</v>
      </c>
      <c r="H88" s="247">
        <f>DSUM($B$69:$Z$74,H$69,$C$81:$D88)</f>
        <v>9.9636403318737248</v>
      </c>
      <c r="I88" s="247">
        <f>DSUM($B$69:$Z$74,I$69,$C$81:$D88)</f>
        <v>10.351380112671707</v>
      </c>
      <c r="J88" s="247">
        <f>DSUM($B$69:$Z$74,J$69,$C$81:$D88)</f>
        <v>10.581655873084529</v>
      </c>
      <c r="K88" s="247">
        <f>DSUM($B$69:$Z$74,K$69,$C$81:$D88)</f>
        <v>10.660817537777291</v>
      </c>
      <c r="L88" s="247">
        <f>DSUM($B$69:$Z$74,L$69,$C$81:$D88)</f>
        <v>10.690788107763575</v>
      </c>
      <c r="M88" s="247">
        <f>DSUM($B$69:$Z$74,M$69,$C$81:$D88)</f>
        <v>10.700425331767169</v>
      </c>
      <c r="N88" s="247">
        <f>DSUM($B$69:$Z$74,N$69,$C$81:$D88)</f>
        <v>10.702868936663634</v>
      </c>
      <c r="O88" s="247">
        <f>DSUM($B$69:$Z$74,O$69,$C$81:$D88)</f>
        <v>10.70313286058596</v>
      </c>
      <c r="P88" s="247">
        <f>DSUM($B$69:$Z$74,P$69,$C$81:$D88)</f>
        <v>10.702897532600542</v>
      </c>
      <c r="Q88" s="247">
        <f>DSUM($B$69:$Z$74,Q$69,$C$81:$D88)</f>
        <v>10.702610243199977</v>
      </c>
      <c r="R88" s="247">
        <f>DSUM($B$69:$Z$74,R$69,$C$81:$D88)</f>
        <v>10.702359929438828</v>
      </c>
      <c r="S88" s="247">
        <f>DSUM($B$69:$Z$74,S$69,$C$81:$D88)</f>
        <v>10.702162787400006</v>
      </c>
      <c r="T88" s="247">
        <f>DSUM($B$69:$Z$74,T$69,$C$81:$D88)</f>
        <v>10.702010442086506</v>
      </c>
      <c r="U88" s="247">
        <f>DSUM($B$69:$Z$74,U$69,$C$81:$D88)</f>
        <v>10.701898591086245</v>
      </c>
      <c r="V88" s="247">
        <f>DSUM($B$69:$Z$74,V$69,$C$81:$D88)</f>
        <v>10.701803343101679</v>
      </c>
      <c r="W88" s="247">
        <f>DSUM($B$69:$Z$74,W$69,$C$81:$D88)</f>
        <v>10.70170921638994</v>
      </c>
      <c r="X88" s="247">
        <f>DSUM($B$69:$Z$74,X$69,$C$81:$D88)</f>
        <v>10.70162045622752</v>
      </c>
      <c r="Y88" s="247"/>
      <c r="Z88" s="166">
        <f>DSUM($B$69:$Z$74,Z$69,$C$81:$D88)</f>
        <v>49.101696370350929</v>
      </c>
    </row>
    <row r="89" spans="2:26">
      <c r="B89" s="11" t="s">
        <v>647</v>
      </c>
      <c r="C89" s="272" t="s">
        <v>699</v>
      </c>
      <c r="D89" s="272" t="s">
        <v>700</v>
      </c>
      <c r="E89" s="247">
        <f>DSUM($B$69:$Z$74,E$69,$C$81:$D89)</f>
        <v>6.5856513615616823</v>
      </c>
      <c r="F89" s="247">
        <f>DSUM($B$69:$Z$74,F$69,$C$81:$D89)</f>
        <v>8.1490181577391567</v>
      </c>
      <c r="G89" s="247">
        <f>DSUM($B$69:$Z$74,G$69,$C$81:$D89)</f>
        <v>9.2657087264373512</v>
      </c>
      <c r="H89" s="247">
        <f>DSUM($B$69:$Z$74,H$69,$C$81:$D89)</f>
        <v>9.9636403318737248</v>
      </c>
      <c r="I89" s="247">
        <f>DSUM($B$69:$Z$74,I$69,$C$81:$D89)</f>
        <v>10.351380112671707</v>
      </c>
      <c r="J89" s="247">
        <f>DSUM($B$69:$Z$74,J$69,$C$81:$D89)</f>
        <v>10.581655873084529</v>
      </c>
      <c r="K89" s="247">
        <f>DSUM($B$69:$Z$74,K$69,$C$81:$D89)</f>
        <v>10.660817537777291</v>
      </c>
      <c r="L89" s="247">
        <f>DSUM($B$69:$Z$74,L$69,$C$81:$D89)</f>
        <v>10.690788107763575</v>
      </c>
      <c r="M89" s="247">
        <f>DSUM($B$69:$Z$74,M$69,$C$81:$D89)</f>
        <v>10.700425331767169</v>
      </c>
      <c r="N89" s="247">
        <f>DSUM($B$69:$Z$74,N$69,$C$81:$D89)</f>
        <v>10.702868936663634</v>
      </c>
      <c r="O89" s="247">
        <f>DSUM($B$69:$Z$74,O$69,$C$81:$D89)</f>
        <v>10.70313286058596</v>
      </c>
      <c r="P89" s="247">
        <f>DSUM($B$69:$Z$74,P$69,$C$81:$D89)</f>
        <v>10.702897532600542</v>
      </c>
      <c r="Q89" s="247">
        <f>DSUM($B$69:$Z$74,Q$69,$C$81:$D89)</f>
        <v>10.702610243199977</v>
      </c>
      <c r="R89" s="247">
        <f>DSUM($B$69:$Z$74,R$69,$C$81:$D89)</f>
        <v>10.702359929438828</v>
      </c>
      <c r="S89" s="247">
        <f>DSUM($B$69:$Z$74,S$69,$C$81:$D89)</f>
        <v>10.702162787400006</v>
      </c>
      <c r="T89" s="247">
        <f>DSUM($B$69:$Z$74,T$69,$C$81:$D89)</f>
        <v>10.702010442086506</v>
      </c>
      <c r="U89" s="247">
        <f>DSUM($B$69:$Z$74,U$69,$C$81:$D89)</f>
        <v>10.701898591086245</v>
      </c>
      <c r="V89" s="247">
        <f>DSUM($B$69:$Z$74,V$69,$C$81:$D89)</f>
        <v>10.701803343101679</v>
      </c>
      <c r="W89" s="247">
        <f>DSUM($B$69:$Z$74,W$69,$C$81:$D89)</f>
        <v>10.70170921638994</v>
      </c>
      <c r="X89" s="247">
        <f>DSUM($B$69:$Z$74,X$69,$C$81:$D89)</f>
        <v>10.70162045622752</v>
      </c>
      <c r="Y89" s="247"/>
      <c r="Z89" s="166">
        <f>DSUM($B$69:$Z$74,Z$69,$C$81:$D89)</f>
        <v>49.101696370350929</v>
      </c>
    </row>
    <row r="90" spans="2:26">
      <c r="B90" s="11" t="s">
        <v>648</v>
      </c>
      <c r="C90" s="272" t="s">
        <v>701</v>
      </c>
      <c r="D90" s="272" t="s">
        <v>702</v>
      </c>
      <c r="E90" s="247">
        <f>DSUM($B$69:$Z$74,E$69,$C$81:$D90)</f>
        <v>6.5856513615616823</v>
      </c>
      <c r="F90" s="247">
        <f>DSUM($B$69:$Z$74,F$69,$C$81:$D90)</f>
        <v>8.1490181577391567</v>
      </c>
      <c r="G90" s="247">
        <f>DSUM($B$69:$Z$74,G$69,$C$81:$D90)</f>
        <v>9.2657087264373512</v>
      </c>
      <c r="H90" s="247">
        <f>DSUM($B$69:$Z$74,H$69,$C$81:$D90)</f>
        <v>9.9636403318737248</v>
      </c>
      <c r="I90" s="247">
        <f>DSUM($B$69:$Z$74,I$69,$C$81:$D90)</f>
        <v>10.351380112671707</v>
      </c>
      <c r="J90" s="247">
        <f>DSUM($B$69:$Z$74,J$69,$C$81:$D90)</f>
        <v>10.581655873084529</v>
      </c>
      <c r="K90" s="247">
        <f>DSUM($B$69:$Z$74,K$69,$C$81:$D90)</f>
        <v>10.660817537777291</v>
      </c>
      <c r="L90" s="247">
        <f>DSUM($B$69:$Z$74,L$69,$C$81:$D90)</f>
        <v>10.690788107763575</v>
      </c>
      <c r="M90" s="247">
        <f>DSUM($B$69:$Z$74,M$69,$C$81:$D90)</f>
        <v>10.700425331767169</v>
      </c>
      <c r="N90" s="247">
        <f>DSUM($B$69:$Z$74,N$69,$C$81:$D90)</f>
        <v>10.702868936663634</v>
      </c>
      <c r="O90" s="247">
        <f>DSUM($B$69:$Z$74,O$69,$C$81:$D90)</f>
        <v>10.70313286058596</v>
      </c>
      <c r="P90" s="247">
        <f>DSUM($B$69:$Z$74,P$69,$C$81:$D90)</f>
        <v>10.702897532600542</v>
      </c>
      <c r="Q90" s="247">
        <f>DSUM($B$69:$Z$74,Q$69,$C$81:$D90)</f>
        <v>10.702610243199977</v>
      </c>
      <c r="R90" s="247">
        <f>DSUM($B$69:$Z$74,R$69,$C$81:$D90)</f>
        <v>10.702359929438828</v>
      </c>
      <c r="S90" s="247">
        <f>DSUM($B$69:$Z$74,S$69,$C$81:$D90)</f>
        <v>10.702162787400006</v>
      </c>
      <c r="T90" s="247">
        <f>DSUM($B$69:$Z$74,T$69,$C$81:$D90)</f>
        <v>10.702010442086506</v>
      </c>
      <c r="U90" s="247">
        <f>DSUM($B$69:$Z$74,U$69,$C$81:$D90)</f>
        <v>10.701898591086245</v>
      </c>
      <c r="V90" s="247">
        <f>DSUM($B$69:$Z$74,V$69,$C$81:$D90)</f>
        <v>10.701803343101679</v>
      </c>
      <c r="W90" s="247">
        <f>DSUM($B$69:$Z$74,W$69,$C$81:$D90)</f>
        <v>10.70170921638994</v>
      </c>
      <c r="X90" s="247">
        <f>DSUM($B$69:$Z$74,X$69,$C$81:$D90)</f>
        <v>10.70162045622752</v>
      </c>
      <c r="Y90" s="247"/>
      <c r="Z90" s="166">
        <f>DSUM($B$69:$Z$74,Z$69,$C$81:$D90)</f>
        <v>49.101696370350929</v>
      </c>
    </row>
    <row r="91" spans="2:26">
      <c r="B91" s="11" t="s">
        <v>649</v>
      </c>
      <c r="C91" s="272" t="s">
        <v>703</v>
      </c>
      <c r="D91" s="272" t="s">
        <v>704</v>
      </c>
      <c r="E91" s="247">
        <f>DSUM($B$69:$Z$74,E$69,$C$81:$D91)</f>
        <v>6.5856513615616823</v>
      </c>
      <c r="F91" s="247">
        <f>DSUM($B$69:$Z$74,F$69,$C$81:$D91)</f>
        <v>8.1490181577391567</v>
      </c>
      <c r="G91" s="247">
        <f>DSUM($B$69:$Z$74,G$69,$C$81:$D91)</f>
        <v>9.2657087264373512</v>
      </c>
      <c r="H91" s="247">
        <f>DSUM($B$69:$Z$74,H$69,$C$81:$D91)</f>
        <v>9.9636403318737248</v>
      </c>
      <c r="I91" s="247">
        <f>DSUM($B$69:$Z$74,I$69,$C$81:$D91)</f>
        <v>10.351380112671707</v>
      </c>
      <c r="J91" s="247">
        <f>DSUM($B$69:$Z$74,J$69,$C$81:$D91)</f>
        <v>10.581655873084529</v>
      </c>
      <c r="K91" s="247">
        <f>DSUM($B$69:$Z$74,K$69,$C$81:$D91)</f>
        <v>10.660817537777291</v>
      </c>
      <c r="L91" s="247">
        <f>DSUM($B$69:$Z$74,L$69,$C$81:$D91)</f>
        <v>10.690788107763575</v>
      </c>
      <c r="M91" s="247">
        <f>DSUM($B$69:$Z$74,M$69,$C$81:$D91)</f>
        <v>10.700425331767169</v>
      </c>
      <c r="N91" s="247">
        <f>DSUM($B$69:$Z$74,N$69,$C$81:$D91)</f>
        <v>10.702868936663634</v>
      </c>
      <c r="O91" s="247">
        <f>DSUM($B$69:$Z$74,O$69,$C$81:$D91)</f>
        <v>10.70313286058596</v>
      </c>
      <c r="P91" s="247">
        <f>DSUM($B$69:$Z$74,P$69,$C$81:$D91)</f>
        <v>10.702897532600542</v>
      </c>
      <c r="Q91" s="247">
        <f>DSUM($B$69:$Z$74,Q$69,$C$81:$D91)</f>
        <v>10.702610243199977</v>
      </c>
      <c r="R91" s="247">
        <f>DSUM($B$69:$Z$74,R$69,$C$81:$D91)</f>
        <v>10.702359929438828</v>
      </c>
      <c r="S91" s="247">
        <f>DSUM($B$69:$Z$74,S$69,$C$81:$D91)</f>
        <v>10.702162787400006</v>
      </c>
      <c r="T91" s="247">
        <f>DSUM($B$69:$Z$74,T$69,$C$81:$D91)</f>
        <v>10.702010442086506</v>
      </c>
      <c r="U91" s="247">
        <f>DSUM($B$69:$Z$74,U$69,$C$81:$D91)</f>
        <v>10.701898591086245</v>
      </c>
      <c r="V91" s="247">
        <f>DSUM($B$69:$Z$74,V$69,$C$81:$D91)</f>
        <v>10.701803343101679</v>
      </c>
      <c r="W91" s="247">
        <f>DSUM($B$69:$Z$74,W$69,$C$81:$D91)</f>
        <v>10.70170921638994</v>
      </c>
      <c r="X91" s="247">
        <f>DSUM($B$69:$Z$74,X$69,$C$81:$D91)</f>
        <v>10.70162045622752</v>
      </c>
      <c r="Y91" s="247"/>
      <c r="Z91" s="166">
        <f>DSUM($B$69:$Z$74,Z$69,$C$81:$D91)</f>
        <v>49.101696370350929</v>
      </c>
    </row>
    <row r="92" spans="2:26">
      <c r="B92" s="11" t="s">
        <v>650</v>
      </c>
      <c r="C92" s="272" t="s">
        <v>705</v>
      </c>
      <c r="D92" s="272" t="s">
        <v>706</v>
      </c>
      <c r="E92" s="247">
        <f>DSUM($B$69:$Z$74,E$69,$C$81:$D92)</f>
        <v>6.5856513615616823</v>
      </c>
      <c r="F92" s="247">
        <f>DSUM($B$69:$Z$74,F$69,$C$81:$D92)</f>
        <v>8.1490181577391567</v>
      </c>
      <c r="G92" s="247">
        <f>DSUM($B$69:$Z$74,G$69,$C$81:$D92)</f>
        <v>9.2657087264373512</v>
      </c>
      <c r="H92" s="247">
        <f>DSUM($B$69:$Z$74,H$69,$C$81:$D92)</f>
        <v>9.9636403318737248</v>
      </c>
      <c r="I92" s="247">
        <f>DSUM($B$69:$Z$74,I$69,$C$81:$D92)</f>
        <v>10.351380112671707</v>
      </c>
      <c r="J92" s="247">
        <f>DSUM($B$69:$Z$74,J$69,$C$81:$D92)</f>
        <v>10.581655873084529</v>
      </c>
      <c r="K92" s="247">
        <f>DSUM($B$69:$Z$74,K$69,$C$81:$D92)</f>
        <v>10.660817537777291</v>
      </c>
      <c r="L92" s="247">
        <f>DSUM($B$69:$Z$74,L$69,$C$81:$D92)</f>
        <v>10.690788107763575</v>
      </c>
      <c r="M92" s="247">
        <f>DSUM($B$69:$Z$74,M$69,$C$81:$D92)</f>
        <v>10.700425331767169</v>
      </c>
      <c r="N92" s="247">
        <f>DSUM($B$69:$Z$74,N$69,$C$81:$D92)</f>
        <v>10.702868936663634</v>
      </c>
      <c r="O92" s="247">
        <f>DSUM($B$69:$Z$74,O$69,$C$81:$D92)</f>
        <v>10.70313286058596</v>
      </c>
      <c r="P92" s="247">
        <f>DSUM($B$69:$Z$74,P$69,$C$81:$D92)</f>
        <v>10.702897532600542</v>
      </c>
      <c r="Q92" s="247">
        <f>DSUM($B$69:$Z$74,Q$69,$C$81:$D92)</f>
        <v>10.702610243199977</v>
      </c>
      <c r="R92" s="247">
        <f>DSUM($B$69:$Z$74,R$69,$C$81:$D92)</f>
        <v>10.702359929438828</v>
      </c>
      <c r="S92" s="247">
        <f>DSUM($B$69:$Z$74,S$69,$C$81:$D92)</f>
        <v>10.702162787400006</v>
      </c>
      <c r="T92" s="247">
        <f>DSUM($B$69:$Z$74,T$69,$C$81:$D92)</f>
        <v>10.702010442086506</v>
      </c>
      <c r="U92" s="247">
        <f>DSUM($B$69:$Z$74,U$69,$C$81:$D92)</f>
        <v>10.701898591086245</v>
      </c>
      <c r="V92" s="247">
        <f>DSUM($B$69:$Z$74,V$69,$C$81:$D92)</f>
        <v>10.701803343101679</v>
      </c>
      <c r="W92" s="247">
        <f>DSUM($B$69:$Z$74,W$69,$C$81:$D92)</f>
        <v>10.70170921638994</v>
      </c>
      <c r="X92" s="247">
        <f>DSUM($B$69:$Z$74,X$69,$C$81:$D92)</f>
        <v>10.70162045622752</v>
      </c>
      <c r="Y92" s="247"/>
      <c r="Z92" s="166">
        <f>DSUM($B$69:$Z$74,Z$69,$C$81:$D92)</f>
        <v>49.101696370350929</v>
      </c>
    </row>
    <row r="93" spans="2:26">
      <c r="B93" s="11" t="s">
        <v>651</v>
      </c>
      <c r="C93" s="272" t="s">
        <v>707</v>
      </c>
      <c r="D93" s="272" t="s">
        <v>708</v>
      </c>
      <c r="E93" s="247">
        <f>DSUM($B$69:$Z$74,E$69,$C$81:$D93)</f>
        <v>6.5856513615616823</v>
      </c>
      <c r="F93" s="247">
        <f>DSUM($B$69:$Z$74,F$69,$C$81:$D93)</f>
        <v>8.1490181577391567</v>
      </c>
      <c r="G93" s="247">
        <f>DSUM($B$69:$Z$74,G$69,$C$81:$D93)</f>
        <v>9.2657087264373512</v>
      </c>
      <c r="H93" s="247">
        <f>DSUM($B$69:$Z$74,H$69,$C$81:$D93)</f>
        <v>9.9636403318737248</v>
      </c>
      <c r="I93" s="247">
        <f>DSUM($B$69:$Z$74,I$69,$C$81:$D93)</f>
        <v>10.351380112671707</v>
      </c>
      <c r="J93" s="247">
        <f>DSUM($B$69:$Z$74,J$69,$C$81:$D93)</f>
        <v>10.581655873084529</v>
      </c>
      <c r="K93" s="247">
        <f>DSUM($B$69:$Z$74,K$69,$C$81:$D93)</f>
        <v>10.660817537777291</v>
      </c>
      <c r="L93" s="247">
        <f>DSUM($B$69:$Z$74,L$69,$C$81:$D93)</f>
        <v>10.690788107763575</v>
      </c>
      <c r="M93" s="247">
        <f>DSUM($B$69:$Z$74,M$69,$C$81:$D93)</f>
        <v>10.700425331767169</v>
      </c>
      <c r="N93" s="247">
        <f>DSUM($B$69:$Z$74,N$69,$C$81:$D93)</f>
        <v>10.702868936663634</v>
      </c>
      <c r="O93" s="247">
        <f>DSUM($B$69:$Z$74,O$69,$C$81:$D93)</f>
        <v>10.70313286058596</v>
      </c>
      <c r="P93" s="247">
        <f>DSUM($B$69:$Z$74,P$69,$C$81:$D93)</f>
        <v>10.702897532600542</v>
      </c>
      <c r="Q93" s="247">
        <f>DSUM($B$69:$Z$74,Q$69,$C$81:$D93)</f>
        <v>10.702610243199977</v>
      </c>
      <c r="R93" s="247">
        <f>DSUM($B$69:$Z$74,R$69,$C$81:$D93)</f>
        <v>10.702359929438828</v>
      </c>
      <c r="S93" s="247">
        <f>DSUM($B$69:$Z$74,S$69,$C$81:$D93)</f>
        <v>10.702162787400006</v>
      </c>
      <c r="T93" s="247">
        <f>DSUM($B$69:$Z$74,T$69,$C$81:$D93)</f>
        <v>10.702010442086506</v>
      </c>
      <c r="U93" s="247">
        <f>DSUM($B$69:$Z$74,U$69,$C$81:$D93)</f>
        <v>10.701898591086245</v>
      </c>
      <c r="V93" s="247">
        <f>DSUM($B$69:$Z$74,V$69,$C$81:$D93)</f>
        <v>10.701803343101679</v>
      </c>
      <c r="W93" s="247">
        <f>DSUM($B$69:$Z$74,W$69,$C$81:$D93)</f>
        <v>10.70170921638994</v>
      </c>
      <c r="X93" s="247">
        <f>DSUM($B$69:$Z$74,X$69,$C$81:$D93)</f>
        <v>10.70162045622752</v>
      </c>
      <c r="Y93" s="247"/>
      <c r="Z93" s="166">
        <f>DSUM($B$69:$Z$74,Z$69,$C$81:$D93)</f>
        <v>49.101696370350929</v>
      </c>
    </row>
    <row r="94" spans="2:26">
      <c r="B94" s="11" t="s">
        <v>652</v>
      </c>
      <c r="C94" s="272" t="s">
        <v>709</v>
      </c>
      <c r="D94" s="272" t="s">
        <v>710</v>
      </c>
      <c r="E94" s="247">
        <f>DSUM($B$69:$Z$74,E$69,$C$81:$D94)</f>
        <v>6.5856513615616823</v>
      </c>
      <c r="F94" s="247">
        <f>DSUM($B$69:$Z$74,F$69,$C$81:$D94)</f>
        <v>8.1490181577391567</v>
      </c>
      <c r="G94" s="247">
        <f>DSUM($B$69:$Z$74,G$69,$C$81:$D94)</f>
        <v>9.2657087264373512</v>
      </c>
      <c r="H94" s="247">
        <f>DSUM($B$69:$Z$74,H$69,$C$81:$D94)</f>
        <v>9.9636403318737248</v>
      </c>
      <c r="I94" s="247">
        <f>DSUM($B$69:$Z$74,I$69,$C$81:$D94)</f>
        <v>10.351380112671707</v>
      </c>
      <c r="J94" s="247">
        <f>DSUM($B$69:$Z$74,J$69,$C$81:$D94)</f>
        <v>10.581655873084529</v>
      </c>
      <c r="K94" s="247">
        <f>DSUM($B$69:$Z$74,K$69,$C$81:$D94)</f>
        <v>10.660817537777291</v>
      </c>
      <c r="L94" s="247">
        <f>DSUM($B$69:$Z$74,L$69,$C$81:$D94)</f>
        <v>10.690788107763575</v>
      </c>
      <c r="M94" s="247">
        <f>DSUM($B$69:$Z$74,M$69,$C$81:$D94)</f>
        <v>10.700425331767169</v>
      </c>
      <c r="N94" s="247">
        <f>DSUM($B$69:$Z$74,N$69,$C$81:$D94)</f>
        <v>10.702868936663634</v>
      </c>
      <c r="O94" s="247">
        <f>DSUM($B$69:$Z$74,O$69,$C$81:$D94)</f>
        <v>10.70313286058596</v>
      </c>
      <c r="P94" s="247">
        <f>DSUM($B$69:$Z$74,P$69,$C$81:$D94)</f>
        <v>10.702897532600542</v>
      </c>
      <c r="Q94" s="247">
        <f>DSUM($B$69:$Z$74,Q$69,$C$81:$D94)</f>
        <v>10.702610243199977</v>
      </c>
      <c r="R94" s="247">
        <f>DSUM($B$69:$Z$74,R$69,$C$81:$D94)</f>
        <v>10.702359929438828</v>
      </c>
      <c r="S94" s="247">
        <f>DSUM($B$69:$Z$74,S$69,$C$81:$D94)</f>
        <v>10.702162787400006</v>
      </c>
      <c r="T94" s="247">
        <f>DSUM($B$69:$Z$74,T$69,$C$81:$D94)</f>
        <v>10.702010442086506</v>
      </c>
      <c r="U94" s="247">
        <f>DSUM($B$69:$Z$74,U$69,$C$81:$D94)</f>
        <v>10.701898591086245</v>
      </c>
      <c r="V94" s="247">
        <f>DSUM($B$69:$Z$74,V$69,$C$81:$D94)</f>
        <v>10.701803343101679</v>
      </c>
      <c r="W94" s="247">
        <f>DSUM($B$69:$Z$74,W$69,$C$81:$D94)</f>
        <v>10.70170921638994</v>
      </c>
      <c r="X94" s="247">
        <f>DSUM($B$69:$Z$74,X$69,$C$81:$D94)</f>
        <v>10.70162045622752</v>
      </c>
      <c r="Y94" s="247"/>
      <c r="Z94" s="166">
        <f>DSUM($B$69:$Z$74,Z$69,$C$81:$D94)</f>
        <v>49.101696370350929</v>
      </c>
    </row>
    <row r="95" spans="2:26">
      <c r="B95" s="11" t="s">
        <v>653</v>
      </c>
      <c r="C95" s="272" t="s">
        <v>711</v>
      </c>
      <c r="D95" s="272" t="s">
        <v>712</v>
      </c>
      <c r="E95" s="247">
        <f>DSUM($B$69:$Z$74,E$69,$C$81:$D95)</f>
        <v>6.5856513615616823</v>
      </c>
      <c r="F95" s="247">
        <f>DSUM($B$69:$Z$74,F$69,$C$81:$D95)</f>
        <v>8.1490181577391567</v>
      </c>
      <c r="G95" s="247">
        <f>DSUM($B$69:$Z$74,G$69,$C$81:$D95)</f>
        <v>9.2657087264373512</v>
      </c>
      <c r="H95" s="247">
        <f>DSUM($B$69:$Z$74,H$69,$C$81:$D95)</f>
        <v>9.9636403318737248</v>
      </c>
      <c r="I95" s="247">
        <f>DSUM($B$69:$Z$74,I$69,$C$81:$D95)</f>
        <v>10.351380112671707</v>
      </c>
      <c r="J95" s="247">
        <f>DSUM($B$69:$Z$74,J$69,$C$81:$D95)</f>
        <v>10.581655873084529</v>
      </c>
      <c r="K95" s="247">
        <f>DSUM($B$69:$Z$74,K$69,$C$81:$D95)</f>
        <v>10.660817537777291</v>
      </c>
      <c r="L95" s="247">
        <f>DSUM($B$69:$Z$74,L$69,$C$81:$D95)</f>
        <v>10.690788107763575</v>
      </c>
      <c r="M95" s="247">
        <f>DSUM($B$69:$Z$74,M$69,$C$81:$D95)</f>
        <v>10.700425331767169</v>
      </c>
      <c r="N95" s="247">
        <f>DSUM($B$69:$Z$74,N$69,$C$81:$D95)</f>
        <v>10.702868936663634</v>
      </c>
      <c r="O95" s="247">
        <f>DSUM($B$69:$Z$74,O$69,$C$81:$D95)</f>
        <v>10.70313286058596</v>
      </c>
      <c r="P95" s="247">
        <f>DSUM($B$69:$Z$74,P$69,$C$81:$D95)</f>
        <v>10.702897532600542</v>
      </c>
      <c r="Q95" s="247">
        <f>DSUM($B$69:$Z$74,Q$69,$C$81:$D95)</f>
        <v>10.702610243199977</v>
      </c>
      <c r="R95" s="247">
        <f>DSUM($B$69:$Z$74,R$69,$C$81:$D95)</f>
        <v>10.702359929438828</v>
      </c>
      <c r="S95" s="247">
        <f>DSUM($B$69:$Z$74,S$69,$C$81:$D95)</f>
        <v>10.702162787400006</v>
      </c>
      <c r="T95" s="247">
        <f>DSUM($B$69:$Z$74,T$69,$C$81:$D95)</f>
        <v>10.702010442086506</v>
      </c>
      <c r="U95" s="247">
        <f>DSUM($B$69:$Z$74,U$69,$C$81:$D95)</f>
        <v>10.701898591086245</v>
      </c>
      <c r="V95" s="247">
        <f>DSUM($B$69:$Z$74,V$69,$C$81:$D95)</f>
        <v>10.701803343101679</v>
      </c>
      <c r="W95" s="247">
        <f>DSUM($B$69:$Z$74,W$69,$C$81:$D95)</f>
        <v>10.70170921638994</v>
      </c>
      <c r="X95" s="247">
        <f>DSUM($B$69:$Z$74,X$69,$C$81:$D95)</f>
        <v>10.70162045622752</v>
      </c>
      <c r="Y95" s="247"/>
      <c r="Z95" s="166">
        <f>DSUM($B$69:$Z$74,Z$69,$C$81:$D95)</f>
        <v>49.101696370350929</v>
      </c>
    </row>
    <row r="96" spans="2:26">
      <c r="B96" s="11" t="s">
        <v>654</v>
      </c>
      <c r="C96" s="272" t="s">
        <v>713</v>
      </c>
      <c r="D96" s="272" t="s">
        <v>714</v>
      </c>
      <c r="E96" s="247">
        <f>DSUM($B$69:$Z$74,E$69,$C$81:$D96)</f>
        <v>6.5856513615616823</v>
      </c>
      <c r="F96" s="247">
        <f>DSUM($B$69:$Z$74,F$69,$C$81:$D96)</f>
        <v>8.1490181577391567</v>
      </c>
      <c r="G96" s="247">
        <f>DSUM($B$69:$Z$74,G$69,$C$81:$D96)</f>
        <v>9.2657087264373512</v>
      </c>
      <c r="H96" s="247">
        <f>DSUM($B$69:$Z$74,H$69,$C$81:$D96)</f>
        <v>9.9636403318737248</v>
      </c>
      <c r="I96" s="247">
        <f>DSUM($B$69:$Z$74,I$69,$C$81:$D96)</f>
        <v>10.351380112671707</v>
      </c>
      <c r="J96" s="247">
        <f>DSUM($B$69:$Z$74,J$69,$C$81:$D96)</f>
        <v>10.581655873084529</v>
      </c>
      <c r="K96" s="247">
        <f>DSUM($B$69:$Z$74,K$69,$C$81:$D96)</f>
        <v>10.660817537777291</v>
      </c>
      <c r="L96" s="247">
        <f>DSUM($B$69:$Z$74,L$69,$C$81:$D96)</f>
        <v>10.690788107763575</v>
      </c>
      <c r="M96" s="247">
        <f>DSUM($B$69:$Z$74,M$69,$C$81:$D96)</f>
        <v>10.700425331767169</v>
      </c>
      <c r="N96" s="247">
        <f>DSUM($B$69:$Z$74,N$69,$C$81:$D96)</f>
        <v>10.702868936663634</v>
      </c>
      <c r="O96" s="247">
        <f>DSUM($B$69:$Z$74,O$69,$C$81:$D96)</f>
        <v>10.70313286058596</v>
      </c>
      <c r="P96" s="247">
        <f>DSUM($B$69:$Z$74,P$69,$C$81:$D96)</f>
        <v>10.702897532600542</v>
      </c>
      <c r="Q96" s="247">
        <f>DSUM($B$69:$Z$74,Q$69,$C$81:$D96)</f>
        <v>10.702610243199977</v>
      </c>
      <c r="R96" s="247">
        <f>DSUM($B$69:$Z$74,R$69,$C$81:$D96)</f>
        <v>10.702359929438828</v>
      </c>
      <c r="S96" s="247">
        <f>DSUM($B$69:$Z$74,S$69,$C$81:$D96)</f>
        <v>10.702162787400006</v>
      </c>
      <c r="T96" s="247">
        <f>DSUM($B$69:$Z$74,T$69,$C$81:$D96)</f>
        <v>10.702010442086506</v>
      </c>
      <c r="U96" s="247">
        <f>DSUM($B$69:$Z$74,U$69,$C$81:$D96)</f>
        <v>10.701898591086245</v>
      </c>
      <c r="V96" s="247">
        <f>DSUM($B$69:$Z$74,V$69,$C$81:$D96)</f>
        <v>10.701803343101679</v>
      </c>
      <c r="W96" s="247">
        <f>DSUM($B$69:$Z$74,W$69,$C$81:$D96)</f>
        <v>10.70170921638994</v>
      </c>
      <c r="X96" s="247">
        <f>DSUM($B$69:$Z$74,X$69,$C$81:$D96)</f>
        <v>10.70162045622752</v>
      </c>
      <c r="Y96" s="247"/>
      <c r="Z96" s="166">
        <f>DSUM($B$69:$Z$74,Z$69,$C$81:$D96)</f>
        <v>49.101696370350929</v>
      </c>
    </row>
    <row r="97" spans="2:26">
      <c r="B97" s="11" t="s">
        <v>655</v>
      </c>
      <c r="C97" s="272" t="s">
        <v>715</v>
      </c>
      <c r="D97" s="272" t="s">
        <v>716</v>
      </c>
      <c r="E97" s="247">
        <f>DSUM($B$69:$Z$74,E$69,$C$81:$D97)</f>
        <v>6.5856513615616823</v>
      </c>
      <c r="F97" s="247">
        <f>DSUM($B$69:$Z$74,F$69,$C$81:$D97)</f>
        <v>8.1490181577391567</v>
      </c>
      <c r="G97" s="247">
        <f>DSUM($B$69:$Z$74,G$69,$C$81:$D97)</f>
        <v>9.2657087264373512</v>
      </c>
      <c r="H97" s="247">
        <f>DSUM($B$69:$Z$74,H$69,$C$81:$D97)</f>
        <v>9.9636403318737248</v>
      </c>
      <c r="I97" s="247">
        <f>DSUM($B$69:$Z$74,I$69,$C$81:$D97)</f>
        <v>10.351380112671707</v>
      </c>
      <c r="J97" s="247">
        <f>DSUM($B$69:$Z$74,J$69,$C$81:$D97)</f>
        <v>10.581655873084529</v>
      </c>
      <c r="K97" s="247">
        <f>DSUM($B$69:$Z$74,K$69,$C$81:$D97)</f>
        <v>10.660817537777291</v>
      </c>
      <c r="L97" s="247">
        <f>DSUM($B$69:$Z$74,L$69,$C$81:$D97)</f>
        <v>10.690788107763575</v>
      </c>
      <c r="M97" s="247">
        <f>DSUM($B$69:$Z$74,M$69,$C$81:$D97)</f>
        <v>10.700425331767169</v>
      </c>
      <c r="N97" s="247">
        <f>DSUM($B$69:$Z$74,N$69,$C$81:$D97)</f>
        <v>10.702868936663634</v>
      </c>
      <c r="O97" s="247">
        <f>DSUM($B$69:$Z$74,O$69,$C$81:$D97)</f>
        <v>10.70313286058596</v>
      </c>
      <c r="P97" s="247">
        <f>DSUM($B$69:$Z$74,P$69,$C$81:$D97)</f>
        <v>10.702897532600542</v>
      </c>
      <c r="Q97" s="247">
        <f>DSUM($B$69:$Z$74,Q$69,$C$81:$D97)</f>
        <v>10.702610243199977</v>
      </c>
      <c r="R97" s="247">
        <f>DSUM($B$69:$Z$74,R$69,$C$81:$D97)</f>
        <v>10.702359929438828</v>
      </c>
      <c r="S97" s="247">
        <f>DSUM($B$69:$Z$74,S$69,$C$81:$D97)</f>
        <v>10.702162787400006</v>
      </c>
      <c r="T97" s="247">
        <f>DSUM($B$69:$Z$74,T$69,$C$81:$D97)</f>
        <v>10.702010442086506</v>
      </c>
      <c r="U97" s="247">
        <f>DSUM($B$69:$Z$74,U$69,$C$81:$D97)</f>
        <v>10.701898591086245</v>
      </c>
      <c r="V97" s="247">
        <f>DSUM($B$69:$Z$74,V$69,$C$81:$D97)</f>
        <v>10.701803343101679</v>
      </c>
      <c r="W97" s="247">
        <f>DSUM($B$69:$Z$74,W$69,$C$81:$D97)</f>
        <v>10.70170921638994</v>
      </c>
      <c r="X97" s="247">
        <f>DSUM($B$69:$Z$74,X$69,$C$81:$D97)</f>
        <v>10.70162045622752</v>
      </c>
      <c r="Y97" s="247"/>
      <c r="Z97" s="166">
        <f>DSUM($B$69:$Z$74,Z$69,$C$81:$D97)</f>
        <v>49.101696370350929</v>
      </c>
    </row>
    <row r="98" spans="2:26">
      <c r="B98" s="11" t="s">
        <v>656</v>
      </c>
      <c r="C98" s="272" t="s">
        <v>717</v>
      </c>
      <c r="D98" s="272" t="s">
        <v>718</v>
      </c>
      <c r="E98" s="247">
        <f>DSUM($B$69:$Z$74,E$69,$C$81:$D98)</f>
        <v>6.5856513615616823</v>
      </c>
      <c r="F98" s="247">
        <f>DSUM($B$69:$Z$74,F$69,$C$81:$D98)</f>
        <v>8.1490181577391567</v>
      </c>
      <c r="G98" s="247">
        <f>DSUM($B$69:$Z$74,G$69,$C$81:$D98)</f>
        <v>9.2657087264373512</v>
      </c>
      <c r="H98" s="247">
        <f>DSUM($B$69:$Z$74,H$69,$C$81:$D98)</f>
        <v>9.9636403318737248</v>
      </c>
      <c r="I98" s="247">
        <f>DSUM($B$69:$Z$74,I$69,$C$81:$D98)</f>
        <v>10.351380112671707</v>
      </c>
      <c r="J98" s="247">
        <f>DSUM($B$69:$Z$74,J$69,$C$81:$D98)</f>
        <v>10.581655873084529</v>
      </c>
      <c r="K98" s="247">
        <f>DSUM($B$69:$Z$74,K$69,$C$81:$D98)</f>
        <v>10.660817537777291</v>
      </c>
      <c r="L98" s="247">
        <f>DSUM($B$69:$Z$74,L$69,$C$81:$D98)</f>
        <v>10.690788107763575</v>
      </c>
      <c r="M98" s="247">
        <f>DSUM($B$69:$Z$74,M$69,$C$81:$D98)</f>
        <v>10.700425331767169</v>
      </c>
      <c r="N98" s="247">
        <f>DSUM($B$69:$Z$74,N$69,$C$81:$D98)</f>
        <v>10.702868936663634</v>
      </c>
      <c r="O98" s="247">
        <f>DSUM($B$69:$Z$74,O$69,$C$81:$D98)</f>
        <v>10.70313286058596</v>
      </c>
      <c r="P98" s="247">
        <f>DSUM($B$69:$Z$74,P$69,$C$81:$D98)</f>
        <v>10.702897532600542</v>
      </c>
      <c r="Q98" s="247">
        <f>DSUM($B$69:$Z$74,Q$69,$C$81:$D98)</f>
        <v>10.702610243199977</v>
      </c>
      <c r="R98" s="247">
        <f>DSUM($B$69:$Z$74,R$69,$C$81:$D98)</f>
        <v>10.702359929438828</v>
      </c>
      <c r="S98" s="247">
        <f>DSUM($B$69:$Z$74,S$69,$C$81:$D98)</f>
        <v>10.702162787400006</v>
      </c>
      <c r="T98" s="247">
        <f>DSUM($B$69:$Z$74,T$69,$C$81:$D98)</f>
        <v>10.702010442086506</v>
      </c>
      <c r="U98" s="247">
        <f>DSUM($B$69:$Z$74,U$69,$C$81:$D98)</f>
        <v>10.701898591086245</v>
      </c>
      <c r="V98" s="247">
        <f>DSUM($B$69:$Z$74,V$69,$C$81:$D98)</f>
        <v>10.701803343101679</v>
      </c>
      <c r="W98" s="247">
        <f>DSUM($B$69:$Z$74,W$69,$C$81:$D98)</f>
        <v>10.70170921638994</v>
      </c>
      <c r="X98" s="247">
        <f>DSUM($B$69:$Z$74,X$69,$C$81:$D98)</f>
        <v>10.70162045622752</v>
      </c>
      <c r="Y98" s="247"/>
      <c r="Z98" s="166">
        <f>DSUM($B$69:$Z$74,Z$69,$C$81:$D98)</f>
        <v>49.101696370350929</v>
      </c>
    </row>
    <row r="99" spans="2:26">
      <c r="B99" s="11" t="s">
        <v>657</v>
      </c>
      <c r="C99" s="272" t="s">
        <v>719</v>
      </c>
      <c r="D99" s="272" t="s">
        <v>720</v>
      </c>
      <c r="E99" s="247">
        <f>DSUM($B$69:$Z$74,E$69,$C$81:$D99)</f>
        <v>6.5856513615616823</v>
      </c>
      <c r="F99" s="247">
        <f>DSUM($B$69:$Z$74,F$69,$C$81:$D99)</f>
        <v>8.1490181577391567</v>
      </c>
      <c r="G99" s="247">
        <f>DSUM($B$69:$Z$74,G$69,$C$81:$D99)</f>
        <v>9.2657087264373512</v>
      </c>
      <c r="H99" s="247">
        <f>DSUM($B$69:$Z$74,H$69,$C$81:$D99)</f>
        <v>9.9636403318737248</v>
      </c>
      <c r="I99" s="247">
        <f>DSUM($B$69:$Z$74,I$69,$C$81:$D99)</f>
        <v>10.351380112671707</v>
      </c>
      <c r="J99" s="247">
        <f>DSUM($B$69:$Z$74,J$69,$C$81:$D99)</f>
        <v>10.581655873084529</v>
      </c>
      <c r="K99" s="247">
        <f>DSUM($B$69:$Z$74,K$69,$C$81:$D99)</f>
        <v>10.660817537777291</v>
      </c>
      <c r="L99" s="247">
        <f>DSUM($B$69:$Z$74,L$69,$C$81:$D99)</f>
        <v>10.690788107763575</v>
      </c>
      <c r="M99" s="247">
        <f>DSUM($B$69:$Z$74,M$69,$C$81:$D99)</f>
        <v>10.700425331767169</v>
      </c>
      <c r="N99" s="247">
        <f>DSUM($B$69:$Z$74,N$69,$C$81:$D99)</f>
        <v>10.702868936663634</v>
      </c>
      <c r="O99" s="247">
        <f>DSUM($B$69:$Z$74,O$69,$C$81:$D99)</f>
        <v>10.70313286058596</v>
      </c>
      <c r="P99" s="247">
        <f>DSUM($B$69:$Z$74,P$69,$C$81:$D99)</f>
        <v>10.702897532600542</v>
      </c>
      <c r="Q99" s="247">
        <f>DSUM($B$69:$Z$74,Q$69,$C$81:$D99)</f>
        <v>10.702610243199977</v>
      </c>
      <c r="R99" s="247">
        <f>DSUM($B$69:$Z$74,R$69,$C$81:$D99)</f>
        <v>10.702359929438828</v>
      </c>
      <c r="S99" s="247">
        <f>DSUM($B$69:$Z$74,S$69,$C$81:$D99)</f>
        <v>10.702162787400006</v>
      </c>
      <c r="T99" s="247">
        <f>DSUM($B$69:$Z$74,T$69,$C$81:$D99)</f>
        <v>10.702010442086506</v>
      </c>
      <c r="U99" s="247">
        <f>DSUM($B$69:$Z$74,U$69,$C$81:$D99)</f>
        <v>10.701898591086245</v>
      </c>
      <c r="V99" s="247">
        <f>DSUM($B$69:$Z$74,V$69,$C$81:$D99)</f>
        <v>10.701803343101679</v>
      </c>
      <c r="W99" s="247">
        <f>DSUM($B$69:$Z$74,W$69,$C$81:$D99)</f>
        <v>10.70170921638994</v>
      </c>
      <c r="X99" s="247">
        <f>DSUM($B$69:$Z$74,X$69,$C$81:$D99)</f>
        <v>10.70162045622752</v>
      </c>
      <c r="Y99" s="247"/>
      <c r="Z99" s="166">
        <f>DSUM($B$69:$Z$74,Z$69,$C$81:$D99)</f>
        <v>49.101696370350929</v>
      </c>
    </row>
    <row r="100" spans="2:26">
      <c r="B100" s="11" t="s">
        <v>658</v>
      </c>
      <c r="C100" s="272" t="s">
        <v>721</v>
      </c>
      <c r="D100" s="272" t="s">
        <v>722</v>
      </c>
      <c r="E100" s="247">
        <f>DSUM($B$69:$Z$74,E$69,$C$81:$D100)</f>
        <v>6.5856513615616823</v>
      </c>
      <c r="F100" s="247">
        <f>DSUM($B$69:$Z$74,F$69,$C$81:$D100)</f>
        <v>8.1490181577391567</v>
      </c>
      <c r="G100" s="247">
        <f>DSUM($B$69:$Z$74,G$69,$C$81:$D100)</f>
        <v>9.2657087264373512</v>
      </c>
      <c r="H100" s="247">
        <f>DSUM($B$69:$Z$74,H$69,$C$81:$D100)</f>
        <v>9.9636403318737248</v>
      </c>
      <c r="I100" s="247">
        <f>DSUM($B$69:$Z$74,I$69,$C$81:$D100)</f>
        <v>10.351380112671707</v>
      </c>
      <c r="J100" s="247">
        <f>DSUM($B$69:$Z$74,J$69,$C$81:$D100)</f>
        <v>10.581655873084529</v>
      </c>
      <c r="K100" s="247">
        <f>DSUM($B$69:$Z$74,K$69,$C$81:$D100)</f>
        <v>10.660817537777291</v>
      </c>
      <c r="L100" s="247">
        <f>DSUM($B$69:$Z$74,L$69,$C$81:$D100)</f>
        <v>10.690788107763575</v>
      </c>
      <c r="M100" s="247">
        <f>DSUM($B$69:$Z$74,M$69,$C$81:$D100)</f>
        <v>10.700425331767169</v>
      </c>
      <c r="N100" s="247">
        <f>DSUM($B$69:$Z$74,N$69,$C$81:$D100)</f>
        <v>10.702868936663634</v>
      </c>
      <c r="O100" s="247">
        <f>DSUM($B$69:$Z$74,O$69,$C$81:$D100)</f>
        <v>10.70313286058596</v>
      </c>
      <c r="P100" s="247">
        <f>DSUM($B$69:$Z$74,P$69,$C$81:$D100)</f>
        <v>10.702897532600542</v>
      </c>
      <c r="Q100" s="247">
        <f>DSUM($B$69:$Z$74,Q$69,$C$81:$D100)</f>
        <v>10.702610243199977</v>
      </c>
      <c r="R100" s="247">
        <f>DSUM($B$69:$Z$74,R$69,$C$81:$D100)</f>
        <v>10.702359929438828</v>
      </c>
      <c r="S100" s="247">
        <f>DSUM($B$69:$Z$74,S$69,$C$81:$D100)</f>
        <v>10.702162787400006</v>
      </c>
      <c r="T100" s="247">
        <f>DSUM($B$69:$Z$74,T$69,$C$81:$D100)</f>
        <v>10.702010442086506</v>
      </c>
      <c r="U100" s="247">
        <f>DSUM($B$69:$Z$74,U$69,$C$81:$D100)</f>
        <v>10.701898591086245</v>
      </c>
      <c r="V100" s="247">
        <f>DSUM($B$69:$Z$74,V$69,$C$81:$D100)</f>
        <v>10.701803343101679</v>
      </c>
      <c r="W100" s="247">
        <f>DSUM($B$69:$Z$74,W$69,$C$81:$D100)</f>
        <v>10.70170921638994</v>
      </c>
      <c r="X100" s="247">
        <f>DSUM($B$69:$Z$74,X$69,$C$81:$D100)</f>
        <v>10.70162045622752</v>
      </c>
      <c r="Y100" s="247"/>
      <c r="Z100" s="166">
        <f>DSUM($B$69:$Z$74,Z$69,$C$81:$D100)</f>
        <v>49.101696370350929</v>
      </c>
    </row>
    <row r="101" spans="2:26">
      <c r="B101" s="11" t="s">
        <v>659</v>
      </c>
      <c r="C101" s="272" t="s">
        <v>723</v>
      </c>
      <c r="D101" s="272" t="s">
        <v>724</v>
      </c>
      <c r="E101" s="247">
        <f>DSUM($B$69:$Z$74,E$69,$C$81:$D101)</f>
        <v>6.5856513615616823</v>
      </c>
      <c r="F101" s="247">
        <f>DSUM($B$69:$Z$74,F$69,$C$81:$D101)</f>
        <v>8.1490181577391567</v>
      </c>
      <c r="G101" s="247">
        <f>DSUM($B$69:$Z$74,G$69,$C$81:$D101)</f>
        <v>9.2657087264373512</v>
      </c>
      <c r="H101" s="247">
        <f>DSUM($B$69:$Z$74,H$69,$C$81:$D101)</f>
        <v>9.9636403318737248</v>
      </c>
      <c r="I101" s="247">
        <f>DSUM($B$69:$Z$74,I$69,$C$81:$D101)</f>
        <v>10.351380112671707</v>
      </c>
      <c r="J101" s="247">
        <f>DSUM($B$69:$Z$74,J$69,$C$81:$D101)</f>
        <v>10.581655873084529</v>
      </c>
      <c r="K101" s="247">
        <f>DSUM($B$69:$Z$74,K$69,$C$81:$D101)</f>
        <v>10.660817537777291</v>
      </c>
      <c r="L101" s="247">
        <f>DSUM($B$69:$Z$74,L$69,$C$81:$D101)</f>
        <v>10.690788107763575</v>
      </c>
      <c r="M101" s="247">
        <f>DSUM($B$69:$Z$74,M$69,$C$81:$D101)</f>
        <v>10.700425331767169</v>
      </c>
      <c r="N101" s="247">
        <f>DSUM($B$69:$Z$74,N$69,$C$81:$D101)</f>
        <v>10.702868936663634</v>
      </c>
      <c r="O101" s="247">
        <f>DSUM($B$69:$Z$74,O$69,$C$81:$D101)</f>
        <v>10.70313286058596</v>
      </c>
      <c r="P101" s="247">
        <f>DSUM($B$69:$Z$74,P$69,$C$81:$D101)</f>
        <v>10.702897532600542</v>
      </c>
      <c r="Q101" s="247">
        <f>DSUM($B$69:$Z$74,Q$69,$C$81:$D101)</f>
        <v>10.702610243199977</v>
      </c>
      <c r="R101" s="247">
        <f>DSUM($B$69:$Z$74,R$69,$C$81:$D101)</f>
        <v>10.702359929438828</v>
      </c>
      <c r="S101" s="247">
        <f>DSUM($B$69:$Z$74,S$69,$C$81:$D101)</f>
        <v>10.702162787400006</v>
      </c>
      <c r="T101" s="247">
        <f>DSUM($B$69:$Z$74,T$69,$C$81:$D101)</f>
        <v>10.702010442086506</v>
      </c>
      <c r="U101" s="247">
        <f>DSUM($B$69:$Z$74,U$69,$C$81:$D101)</f>
        <v>10.701898591086245</v>
      </c>
      <c r="V101" s="247">
        <f>DSUM($B$69:$Z$74,V$69,$C$81:$D101)</f>
        <v>10.701803343101679</v>
      </c>
      <c r="W101" s="247">
        <f>DSUM($B$69:$Z$74,W$69,$C$81:$D101)</f>
        <v>10.70170921638994</v>
      </c>
      <c r="X101" s="247">
        <f>DSUM($B$69:$Z$74,X$69,$C$81:$D101)</f>
        <v>10.70162045622752</v>
      </c>
      <c r="Y101" s="247"/>
      <c r="Z101" s="166">
        <f>DSUM($B$69:$Z$74,Z$69,$C$81:$D101)</f>
        <v>49.101696370350929</v>
      </c>
    </row>
    <row r="102" spans="2:26">
      <c r="B102" s="11" t="s">
        <v>660</v>
      </c>
      <c r="C102" s="272" t="s">
        <v>725</v>
      </c>
      <c r="D102" s="272" t="s">
        <v>726</v>
      </c>
      <c r="E102" s="247">
        <f>DSUM($B$69:$Z$74,E$69,$C$81:$D102)</f>
        <v>6.5856513615616823</v>
      </c>
      <c r="F102" s="247">
        <f>DSUM($B$69:$Z$74,F$69,$C$81:$D102)</f>
        <v>8.1490181577391567</v>
      </c>
      <c r="G102" s="247">
        <f>DSUM($B$69:$Z$74,G$69,$C$81:$D102)</f>
        <v>9.2657087264373512</v>
      </c>
      <c r="H102" s="247">
        <f>DSUM($B$69:$Z$74,H$69,$C$81:$D102)</f>
        <v>9.9636403318737248</v>
      </c>
      <c r="I102" s="247">
        <f>DSUM($B$69:$Z$74,I$69,$C$81:$D102)</f>
        <v>10.351380112671707</v>
      </c>
      <c r="J102" s="247">
        <f>DSUM($B$69:$Z$74,J$69,$C$81:$D102)</f>
        <v>10.581655873084529</v>
      </c>
      <c r="K102" s="247">
        <f>DSUM($B$69:$Z$74,K$69,$C$81:$D102)</f>
        <v>10.660817537777291</v>
      </c>
      <c r="L102" s="247">
        <f>DSUM($B$69:$Z$74,L$69,$C$81:$D102)</f>
        <v>10.690788107763575</v>
      </c>
      <c r="M102" s="247">
        <f>DSUM($B$69:$Z$74,M$69,$C$81:$D102)</f>
        <v>10.700425331767169</v>
      </c>
      <c r="N102" s="247">
        <f>DSUM($B$69:$Z$74,N$69,$C$81:$D102)</f>
        <v>10.702868936663634</v>
      </c>
      <c r="O102" s="247">
        <f>DSUM($B$69:$Z$74,O$69,$C$81:$D102)</f>
        <v>10.70313286058596</v>
      </c>
      <c r="P102" s="247">
        <f>DSUM($B$69:$Z$74,P$69,$C$81:$D102)</f>
        <v>10.702897532600542</v>
      </c>
      <c r="Q102" s="247">
        <f>DSUM($B$69:$Z$74,Q$69,$C$81:$D102)</f>
        <v>10.702610243199977</v>
      </c>
      <c r="R102" s="247">
        <f>DSUM($B$69:$Z$74,R$69,$C$81:$D102)</f>
        <v>10.702359929438828</v>
      </c>
      <c r="S102" s="247">
        <f>DSUM($B$69:$Z$74,S$69,$C$81:$D102)</f>
        <v>10.702162787400006</v>
      </c>
      <c r="T102" s="247">
        <f>DSUM($B$69:$Z$74,T$69,$C$81:$D102)</f>
        <v>10.702010442086506</v>
      </c>
      <c r="U102" s="247">
        <f>DSUM($B$69:$Z$74,U$69,$C$81:$D102)</f>
        <v>10.701898591086245</v>
      </c>
      <c r="V102" s="247">
        <f>DSUM($B$69:$Z$74,V$69,$C$81:$D102)</f>
        <v>10.701803343101679</v>
      </c>
      <c r="W102" s="247">
        <f>DSUM($B$69:$Z$74,W$69,$C$81:$D102)</f>
        <v>10.70170921638994</v>
      </c>
      <c r="X102" s="247">
        <f>DSUM($B$69:$Z$74,X$69,$C$81:$D102)</f>
        <v>10.70162045622752</v>
      </c>
      <c r="Y102" s="247"/>
      <c r="Z102" s="166">
        <f>DSUM($B$69:$Z$74,Z$69,$C$81:$D102)</f>
        <v>49.101696370350929</v>
      </c>
    </row>
    <row r="103" spans="2:26">
      <c r="B103" s="11" t="s">
        <v>762</v>
      </c>
      <c r="C103" s="272" t="s">
        <v>727</v>
      </c>
      <c r="D103" s="272" t="s">
        <v>752</v>
      </c>
      <c r="E103" s="247">
        <f>DSUM($B$69:$Z$74,E$69,$C$81:$D103)</f>
        <v>6.5856513615616823</v>
      </c>
      <c r="F103" s="247">
        <f>DSUM($B$69:$Z$74,F$69,$C$81:$D103)</f>
        <v>8.1490181577391567</v>
      </c>
      <c r="G103" s="247">
        <f>DSUM($B$69:$Z$74,G$69,$C$81:$D103)</f>
        <v>9.2657087264373512</v>
      </c>
      <c r="H103" s="247">
        <f>DSUM($B$69:$Z$74,H$69,$C$81:$D103)</f>
        <v>9.9636403318737248</v>
      </c>
      <c r="I103" s="247">
        <f>DSUM($B$69:$Z$74,I$69,$C$81:$D103)</f>
        <v>10.351380112671707</v>
      </c>
      <c r="J103" s="247">
        <f>DSUM($B$69:$Z$74,J$69,$C$81:$D103)</f>
        <v>10.581655873084529</v>
      </c>
      <c r="K103" s="247">
        <f>DSUM($B$69:$Z$74,K$69,$C$81:$D103)</f>
        <v>10.660817537777291</v>
      </c>
      <c r="L103" s="247">
        <f>DSUM($B$69:$Z$74,L$69,$C$81:$D103)</f>
        <v>10.690788107763575</v>
      </c>
      <c r="M103" s="247">
        <f>DSUM($B$69:$Z$74,M$69,$C$81:$D103)</f>
        <v>10.700425331767169</v>
      </c>
      <c r="N103" s="247">
        <f>DSUM($B$69:$Z$74,N$69,$C$81:$D103)</f>
        <v>10.702868936663634</v>
      </c>
      <c r="O103" s="247">
        <f>DSUM($B$69:$Z$74,O$69,$C$81:$D103)</f>
        <v>10.70313286058596</v>
      </c>
      <c r="P103" s="247">
        <f>DSUM($B$69:$Z$74,P$69,$C$81:$D103)</f>
        <v>10.702897532600542</v>
      </c>
      <c r="Q103" s="247">
        <f>DSUM($B$69:$Z$74,Q$69,$C$81:$D103)</f>
        <v>10.702610243199977</v>
      </c>
      <c r="R103" s="247">
        <f>DSUM($B$69:$Z$74,R$69,$C$81:$D103)</f>
        <v>10.702359929438828</v>
      </c>
      <c r="S103" s="247">
        <f>DSUM($B$69:$Z$74,S$69,$C$81:$D103)</f>
        <v>10.702162787400006</v>
      </c>
      <c r="T103" s="247">
        <f>DSUM($B$69:$Z$74,T$69,$C$81:$D103)</f>
        <v>10.702010442086506</v>
      </c>
      <c r="U103" s="247">
        <f>DSUM($B$69:$Z$74,U$69,$C$81:$D103)</f>
        <v>10.701898591086245</v>
      </c>
      <c r="V103" s="247">
        <f>DSUM($B$69:$Z$74,V$69,$C$81:$D103)</f>
        <v>10.701803343101679</v>
      </c>
      <c r="W103" s="247">
        <f>DSUM($B$69:$Z$74,W$69,$C$81:$D103)</f>
        <v>10.70170921638994</v>
      </c>
      <c r="X103" s="247">
        <f>DSUM($B$69:$Z$74,X$69,$C$81:$D103)</f>
        <v>10.70162045622752</v>
      </c>
      <c r="Y103" s="247"/>
      <c r="Z103" s="166">
        <f>DSUM($B$69:$Z$74,Z$69,$C$81:$D103)</f>
        <v>49.101696370350929</v>
      </c>
    </row>
    <row r="104" spans="2:26">
      <c r="B104" s="11" t="s">
        <v>763</v>
      </c>
      <c r="C104" s="272" t="s">
        <v>742</v>
      </c>
      <c r="D104" s="272" t="s">
        <v>753</v>
      </c>
      <c r="E104" s="247">
        <f>DSUM($B$69:$Z$74,E$69,$C$81:$D104)</f>
        <v>6.5856513615616823</v>
      </c>
      <c r="F104" s="247">
        <f>DSUM($B$69:$Z$74,F$69,$C$81:$D104)</f>
        <v>8.1490181577391567</v>
      </c>
      <c r="G104" s="247">
        <f>DSUM($B$69:$Z$74,G$69,$C$81:$D104)</f>
        <v>9.2657087264373512</v>
      </c>
      <c r="H104" s="247">
        <f>DSUM($B$69:$Z$74,H$69,$C$81:$D104)</f>
        <v>9.9636403318737248</v>
      </c>
      <c r="I104" s="247">
        <f>DSUM($B$69:$Z$74,I$69,$C$81:$D104)</f>
        <v>10.351380112671707</v>
      </c>
      <c r="J104" s="247">
        <f>DSUM($B$69:$Z$74,J$69,$C$81:$D104)</f>
        <v>10.581655873084529</v>
      </c>
      <c r="K104" s="247">
        <f>DSUM($B$69:$Z$74,K$69,$C$81:$D104)</f>
        <v>10.660817537777291</v>
      </c>
      <c r="L104" s="247">
        <f>DSUM($B$69:$Z$74,L$69,$C$81:$D104)</f>
        <v>10.690788107763575</v>
      </c>
      <c r="M104" s="247">
        <f>DSUM($B$69:$Z$74,M$69,$C$81:$D104)</f>
        <v>10.700425331767169</v>
      </c>
      <c r="N104" s="247">
        <f>DSUM($B$69:$Z$74,N$69,$C$81:$D104)</f>
        <v>10.702868936663634</v>
      </c>
      <c r="O104" s="247">
        <f>DSUM($B$69:$Z$74,O$69,$C$81:$D104)</f>
        <v>10.70313286058596</v>
      </c>
      <c r="P104" s="247">
        <f>DSUM($B$69:$Z$74,P$69,$C$81:$D104)</f>
        <v>10.702897532600542</v>
      </c>
      <c r="Q104" s="247">
        <f>DSUM($B$69:$Z$74,Q$69,$C$81:$D104)</f>
        <v>10.702610243199977</v>
      </c>
      <c r="R104" s="247">
        <f>DSUM($B$69:$Z$74,R$69,$C$81:$D104)</f>
        <v>10.702359929438828</v>
      </c>
      <c r="S104" s="247">
        <f>DSUM($B$69:$Z$74,S$69,$C$81:$D104)</f>
        <v>10.702162787400006</v>
      </c>
      <c r="T104" s="247">
        <f>DSUM($B$69:$Z$74,T$69,$C$81:$D104)</f>
        <v>10.702010442086506</v>
      </c>
      <c r="U104" s="247">
        <f>DSUM($B$69:$Z$74,U$69,$C$81:$D104)</f>
        <v>10.701898591086245</v>
      </c>
      <c r="V104" s="247">
        <f>DSUM($B$69:$Z$74,V$69,$C$81:$D104)</f>
        <v>10.701803343101679</v>
      </c>
      <c r="W104" s="247">
        <f>DSUM($B$69:$Z$74,W$69,$C$81:$D104)</f>
        <v>10.70170921638994</v>
      </c>
      <c r="X104" s="247">
        <f>DSUM($B$69:$Z$74,X$69,$C$81:$D104)</f>
        <v>10.70162045622752</v>
      </c>
      <c r="Y104" s="247"/>
      <c r="Z104" s="166">
        <f>DSUM($B$69:$Z$74,Z$69,$C$81:$D104)</f>
        <v>49.101696370350929</v>
      </c>
    </row>
    <row r="105" spans="2:26">
      <c r="B105" s="11" t="s">
        <v>764</v>
      </c>
      <c r="C105" s="272" t="s">
        <v>743</v>
      </c>
      <c r="D105" s="272" t="s">
        <v>754</v>
      </c>
      <c r="E105" s="247">
        <f>DSUM($B$69:$Z$74,E$69,$C$81:$D105)</f>
        <v>6.5856513615616823</v>
      </c>
      <c r="F105" s="247">
        <f>DSUM($B$69:$Z$74,F$69,$C$81:$D105)</f>
        <v>8.1490181577391567</v>
      </c>
      <c r="G105" s="247">
        <f>DSUM($B$69:$Z$74,G$69,$C$81:$D105)</f>
        <v>9.2657087264373512</v>
      </c>
      <c r="H105" s="247">
        <f>DSUM($B$69:$Z$74,H$69,$C$81:$D105)</f>
        <v>9.9636403318737248</v>
      </c>
      <c r="I105" s="247">
        <f>DSUM($B$69:$Z$74,I$69,$C$81:$D105)</f>
        <v>10.351380112671707</v>
      </c>
      <c r="J105" s="247">
        <f>DSUM($B$69:$Z$74,J$69,$C$81:$D105)</f>
        <v>10.581655873084529</v>
      </c>
      <c r="K105" s="247">
        <f>DSUM($B$69:$Z$74,K$69,$C$81:$D105)</f>
        <v>10.660817537777291</v>
      </c>
      <c r="L105" s="247">
        <f>DSUM($B$69:$Z$74,L$69,$C$81:$D105)</f>
        <v>10.690788107763575</v>
      </c>
      <c r="M105" s="247">
        <f>DSUM($B$69:$Z$74,M$69,$C$81:$D105)</f>
        <v>10.700425331767169</v>
      </c>
      <c r="N105" s="247">
        <f>DSUM($B$69:$Z$74,N$69,$C$81:$D105)</f>
        <v>10.702868936663634</v>
      </c>
      <c r="O105" s="247">
        <f>DSUM($B$69:$Z$74,O$69,$C$81:$D105)</f>
        <v>10.70313286058596</v>
      </c>
      <c r="P105" s="247">
        <f>DSUM($B$69:$Z$74,P$69,$C$81:$D105)</f>
        <v>10.702897532600542</v>
      </c>
      <c r="Q105" s="247">
        <f>DSUM($B$69:$Z$74,Q$69,$C$81:$D105)</f>
        <v>10.702610243199977</v>
      </c>
      <c r="R105" s="247">
        <f>DSUM($B$69:$Z$74,R$69,$C$81:$D105)</f>
        <v>10.702359929438828</v>
      </c>
      <c r="S105" s="247">
        <f>DSUM($B$69:$Z$74,S$69,$C$81:$D105)</f>
        <v>10.702162787400006</v>
      </c>
      <c r="T105" s="247">
        <f>DSUM($B$69:$Z$74,T$69,$C$81:$D105)</f>
        <v>10.702010442086506</v>
      </c>
      <c r="U105" s="247">
        <f>DSUM($B$69:$Z$74,U$69,$C$81:$D105)</f>
        <v>10.701898591086245</v>
      </c>
      <c r="V105" s="247">
        <f>DSUM($B$69:$Z$74,V$69,$C$81:$D105)</f>
        <v>10.701803343101679</v>
      </c>
      <c r="W105" s="247">
        <f>DSUM($B$69:$Z$74,W$69,$C$81:$D105)</f>
        <v>10.70170921638994</v>
      </c>
      <c r="X105" s="247">
        <f>DSUM($B$69:$Z$74,X$69,$C$81:$D105)</f>
        <v>10.70162045622752</v>
      </c>
      <c r="Y105" s="247"/>
      <c r="Z105" s="166">
        <f>DSUM($B$69:$Z$74,Z$69,$C$81:$D105)</f>
        <v>49.101696370350929</v>
      </c>
    </row>
    <row r="106" spans="2:26">
      <c r="B106" s="11" t="s">
        <v>765</v>
      </c>
      <c r="C106" s="272" t="s">
        <v>744</v>
      </c>
      <c r="D106" s="272" t="s">
        <v>755</v>
      </c>
      <c r="E106" s="247">
        <f>DSUM($B$69:$Z$74,E$69,$C$81:$D106)</f>
        <v>6.5856513615616823</v>
      </c>
      <c r="F106" s="247">
        <f>DSUM($B$69:$Z$74,F$69,$C$81:$D106)</f>
        <v>8.1490181577391567</v>
      </c>
      <c r="G106" s="247">
        <f>DSUM($B$69:$Z$74,G$69,$C$81:$D106)</f>
        <v>9.2657087264373512</v>
      </c>
      <c r="H106" s="247">
        <f>DSUM($B$69:$Z$74,H$69,$C$81:$D106)</f>
        <v>9.9636403318737248</v>
      </c>
      <c r="I106" s="247">
        <f>DSUM($B$69:$Z$74,I$69,$C$81:$D106)</f>
        <v>10.351380112671707</v>
      </c>
      <c r="J106" s="247">
        <f>DSUM($B$69:$Z$74,J$69,$C$81:$D106)</f>
        <v>10.581655873084529</v>
      </c>
      <c r="K106" s="247">
        <f>DSUM($B$69:$Z$74,K$69,$C$81:$D106)</f>
        <v>10.660817537777291</v>
      </c>
      <c r="L106" s="247">
        <f>DSUM($B$69:$Z$74,L$69,$C$81:$D106)</f>
        <v>10.690788107763575</v>
      </c>
      <c r="M106" s="247">
        <f>DSUM($B$69:$Z$74,M$69,$C$81:$D106)</f>
        <v>10.700425331767169</v>
      </c>
      <c r="N106" s="247">
        <f>DSUM($B$69:$Z$74,N$69,$C$81:$D106)</f>
        <v>10.702868936663634</v>
      </c>
      <c r="O106" s="247">
        <f>DSUM($B$69:$Z$74,O$69,$C$81:$D106)</f>
        <v>10.70313286058596</v>
      </c>
      <c r="P106" s="247">
        <f>DSUM($B$69:$Z$74,P$69,$C$81:$D106)</f>
        <v>10.702897532600542</v>
      </c>
      <c r="Q106" s="247">
        <f>DSUM($B$69:$Z$74,Q$69,$C$81:$D106)</f>
        <v>10.702610243199977</v>
      </c>
      <c r="R106" s="247">
        <f>DSUM($B$69:$Z$74,R$69,$C$81:$D106)</f>
        <v>10.702359929438828</v>
      </c>
      <c r="S106" s="247">
        <f>DSUM($B$69:$Z$74,S$69,$C$81:$D106)</f>
        <v>10.702162787400006</v>
      </c>
      <c r="T106" s="247">
        <f>DSUM($B$69:$Z$74,T$69,$C$81:$D106)</f>
        <v>10.702010442086506</v>
      </c>
      <c r="U106" s="247">
        <f>DSUM($B$69:$Z$74,U$69,$C$81:$D106)</f>
        <v>10.701898591086245</v>
      </c>
      <c r="V106" s="247">
        <f>DSUM($B$69:$Z$74,V$69,$C$81:$D106)</f>
        <v>10.701803343101679</v>
      </c>
      <c r="W106" s="247">
        <f>DSUM($B$69:$Z$74,W$69,$C$81:$D106)</f>
        <v>10.70170921638994</v>
      </c>
      <c r="X106" s="247">
        <f>DSUM($B$69:$Z$74,X$69,$C$81:$D106)</f>
        <v>10.70162045622752</v>
      </c>
      <c r="Y106" s="247"/>
      <c r="Z106" s="166">
        <f>DSUM($B$69:$Z$74,Z$69,$C$81:$D106)</f>
        <v>49.101696370350929</v>
      </c>
    </row>
    <row r="107" spans="2:26">
      <c r="B107" s="11" t="s">
        <v>766</v>
      </c>
      <c r="C107" s="272" t="s">
        <v>745</v>
      </c>
      <c r="D107" s="272" t="s">
        <v>756</v>
      </c>
      <c r="E107" s="247">
        <f>DSUM($B$69:$Z$74,E$69,$C$81:$D107)</f>
        <v>6.5856513615616823</v>
      </c>
      <c r="F107" s="247">
        <f>DSUM($B$69:$Z$74,F$69,$C$81:$D107)</f>
        <v>8.1490181577391567</v>
      </c>
      <c r="G107" s="247">
        <f>DSUM($B$69:$Z$74,G$69,$C$81:$D107)</f>
        <v>9.2657087264373512</v>
      </c>
      <c r="H107" s="247">
        <f>DSUM($B$69:$Z$74,H$69,$C$81:$D107)</f>
        <v>9.9636403318737248</v>
      </c>
      <c r="I107" s="247">
        <f>DSUM($B$69:$Z$74,I$69,$C$81:$D107)</f>
        <v>10.351380112671707</v>
      </c>
      <c r="J107" s="247">
        <f>DSUM($B$69:$Z$74,J$69,$C$81:$D107)</f>
        <v>10.581655873084529</v>
      </c>
      <c r="K107" s="247">
        <f>DSUM($B$69:$Z$74,K$69,$C$81:$D107)</f>
        <v>10.660817537777291</v>
      </c>
      <c r="L107" s="247">
        <f>DSUM($B$69:$Z$74,L$69,$C$81:$D107)</f>
        <v>10.690788107763575</v>
      </c>
      <c r="M107" s="247">
        <f>DSUM($B$69:$Z$74,M$69,$C$81:$D107)</f>
        <v>10.700425331767169</v>
      </c>
      <c r="N107" s="247">
        <f>DSUM($B$69:$Z$74,N$69,$C$81:$D107)</f>
        <v>10.702868936663634</v>
      </c>
      <c r="O107" s="247">
        <f>DSUM($B$69:$Z$74,O$69,$C$81:$D107)</f>
        <v>10.70313286058596</v>
      </c>
      <c r="P107" s="247">
        <f>DSUM($B$69:$Z$74,P$69,$C$81:$D107)</f>
        <v>10.702897532600542</v>
      </c>
      <c r="Q107" s="247">
        <f>DSUM($B$69:$Z$74,Q$69,$C$81:$D107)</f>
        <v>10.702610243199977</v>
      </c>
      <c r="R107" s="247">
        <f>DSUM($B$69:$Z$74,R$69,$C$81:$D107)</f>
        <v>10.702359929438828</v>
      </c>
      <c r="S107" s="247">
        <f>DSUM($B$69:$Z$74,S$69,$C$81:$D107)</f>
        <v>10.702162787400006</v>
      </c>
      <c r="T107" s="247">
        <f>DSUM($B$69:$Z$74,T$69,$C$81:$D107)</f>
        <v>10.702010442086506</v>
      </c>
      <c r="U107" s="247">
        <f>DSUM($B$69:$Z$74,U$69,$C$81:$D107)</f>
        <v>10.701898591086245</v>
      </c>
      <c r="V107" s="247">
        <f>DSUM($B$69:$Z$74,V$69,$C$81:$D107)</f>
        <v>10.701803343101679</v>
      </c>
      <c r="W107" s="247">
        <f>DSUM($B$69:$Z$74,W$69,$C$81:$D107)</f>
        <v>10.70170921638994</v>
      </c>
      <c r="X107" s="247">
        <f>DSUM($B$69:$Z$74,X$69,$C$81:$D107)</f>
        <v>10.70162045622752</v>
      </c>
      <c r="Y107" s="247"/>
      <c r="Z107" s="166">
        <f>DSUM($B$69:$Z$74,Z$69,$C$81:$D107)</f>
        <v>49.101696370350929</v>
      </c>
    </row>
    <row r="108" spans="2:26">
      <c r="B108" s="11" t="s">
        <v>767</v>
      </c>
      <c r="C108" s="272" t="s">
        <v>746</v>
      </c>
      <c r="D108" s="272" t="s">
        <v>757</v>
      </c>
      <c r="E108" s="247">
        <f>DSUM($B$69:$Z$74,E$69,$C$81:$D108)</f>
        <v>6.5856513615616823</v>
      </c>
      <c r="F108" s="247">
        <f>DSUM($B$69:$Z$74,F$69,$C$81:$D108)</f>
        <v>8.1490181577391567</v>
      </c>
      <c r="G108" s="247">
        <f>DSUM($B$69:$Z$74,G$69,$C$81:$D108)</f>
        <v>9.2657087264373512</v>
      </c>
      <c r="H108" s="247">
        <f>DSUM($B$69:$Z$74,H$69,$C$81:$D108)</f>
        <v>9.9636403318737248</v>
      </c>
      <c r="I108" s="247">
        <f>DSUM($B$69:$Z$74,I$69,$C$81:$D108)</f>
        <v>10.351380112671707</v>
      </c>
      <c r="J108" s="247">
        <f>DSUM($B$69:$Z$74,J$69,$C$81:$D108)</f>
        <v>10.581655873084529</v>
      </c>
      <c r="K108" s="247">
        <f>DSUM($B$69:$Z$74,K$69,$C$81:$D108)</f>
        <v>10.660817537777291</v>
      </c>
      <c r="L108" s="247">
        <f>DSUM($B$69:$Z$74,L$69,$C$81:$D108)</f>
        <v>10.690788107763575</v>
      </c>
      <c r="M108" s="247">
        <f>DSUM($B$69:$Z$74,M$69,$C$81:$D108)</f>
        <v>10.700425331767169</v>
      </c>
      <c r="N108" s="247">
        <f>DSUM($B$69:$Z$74,N$69,$C$81:$D108)</f>
        <v>10.702868936663634</v>
      </c>
      <c r="O108" s="247">
        <f>DSUM($B$69:$Z$74,O$69,$C$81:$D108)</f>
        <v>10.70313286058596</v>
      </c>
      <c r="P108" s="247">
        <f>DSUM($B$69:$Z$74,P$69,$C$81:$D108)</f>
        <v>10.702897532600542</v>
      </c>
      <c r="Q108" s="247">
        <f>DSUM($B$69:$Z$74,Q$69,$C$81:$D108)</f>
        <v>10.702610243199977</v>
      </c>
      <c r="R108" s="247">
        <f>DSUM($B$69:$Z$74,R$69,$C$81:$D108)</f>
        <v>10.702359929438828</v>
      </c>
      <c r="S108" s="247">
        <f>DSUM($B$69:$Z$74,S$69,$C$81:$D108)</f>
        <v>10.702162787400006</v>
      </c>
      <c r="T108" s="247">
        <f>DSUM($B$69:$Z$74,T$69,$C$81:$D108)</f>
        <v>10.702010442086506</v>
      </c>
      <c r="U108" s="247">
        <f>DSUM($B$69:$Z$74,U$69,$C$81:$D108)</f>
        <v>10.701898591086245</v>
      </c>
      <c r="V108" s="247">
        <f>DSUM($B$69:$Z$74,V$69,$C$81:$D108)</f>
        <v>10.701803343101679</v>
      </c>
      <c r="W108" s="247">
        <f>DSUM($B$69:$Z$74,W$69,$C$81:$D108)</f>
        <v>10.70170921638994</v>
      </c>
      <c r="X108" s="247">
        <f>DSUM($B$69:$Z$74,X$69,$C$81:$D108)</f>
        <v>10.70162045622752</v>
      </c>
      <c r="Y108" s="247"/>
      <c r="Z108" s="166">
        <f>DSUM($B$69:$Z$74,Z$69,$C$81:$D108)</f>
        <v>49.101696370350929</v>
      </c>
    </row>
    <row r="109" spans="2:26">
      <c r="B109" s="11" t="s">
        <v>768</v>
      </c>
      <c r="C109" s="272" t="s">
        <v>747</v>
      </c>
      <c r="D109" s="272" t="s">
        <v>758</v>
      </c>
      <c r="E109" s="247">
        <f>DSUM($B$69:$Z$74,E$69,$C$81:$D109)</f>
        <v>6.5856513615616823</v>
      </c>
      <c r="F109" s="247">
        <f>DSUM($B$69:$Z$74,F$69,$C$81:$D109)</f>
        <v>8.1490181577391567</v>
      </c>
      <c r="G109" s="247">
        <f>DSUM($B$69:$Z$74,G$69,$C$81:$D109)</f>
        <v>9.2657087264373512</v>
      </c>
      <c r="H109" s="247">
        <f>DSUM($B$69:$Z$74,H$69,$C$81:$D109)</f>
        <v>9.9636403318737248</v>
      </c>
      <c r="I109" s="247">
        <f>DSUM($B$69:$Z$74,I$69,$C$81:$D109)</f>
        <v>10.351380112671707</v>
      </c>
      <c r="J109" s="247">
        <f>DSUM($B$69:$Z$74,J$69,$C$81:$D109)</f>
        <v>10.581655873084529</v>
      </c>
      <c r="K109" s="247">
        <f>DSUM($B$69:$Z$74,K$69,$C$81:$D109)</f>
        <v>10.660817537777291</v>
      </c>
      <c r="L109" s="247">
        <f>DSUM($B$69:$Z$74,L$69,$C$81:$D109)</f>
        <v>10.690788107763575</v>
      </c>
      <c r="M109" s="247">
        <f>DSUM($B$69:$Z$74,M$69,$C$81:$D109)</f>
        <v>10.700425331767169</v>
      </c>
      <c r="N109" s="247">
        <f>DSUM($B$69:$Z$74,N$69,$C$81:$D109)</f>
        <v>10.702868936663634</v>
      </c>
      <c r="O109" s="247">
        <f>DSUM($B$69:$Z$74,O$69,$C$81:$D109)</f>
        <v>10.70313286058596</v>
      </c>
      <c r="P109" s="247">
        <f>DSUM($B$69:$Z$74,P$69,$C$81:$D109)</f>
        <v>10.702897532600542</v>
      </c>
      <c r="Q109" s="247">
        <f>DSUM($B$69:$Z$74,Q$69,$C$81:$D109)</f>
        <v>10.702610243199977</v>
      </c>
      <c r="R109" s="247">
        <f>DSUM($B$69:$Z$74,R$69,$C$81:$D109)</f>
        <v>10.702359929438828</v>
      </c>
      <c r="S109" s="247">
        <f>DSUM($B$69:$Z$74,S$69,$C$81:$D109)</f>
        <v>10.702162787400006</v>
      </c>
      <c r="T109" s="247">
        <f>DSUM($B$69:$Z$74,T$69,$C$81:$D109)</f>
        <v>10.702010442086506</v>
      </c>
      <c r="U109" s="247">
        <f>DSUM($B$69:$Z$74,U$69,$C$81:$D109)</f>
        <v>10.701898591086245</v>
      </c>
      <c r="V109" s="247">
        <f>DSUM($B$69:$Z$74,V$69,$C$81:$D109)</f>
        <v>10.701803343101679</v>
      </c>
      <c r="W109" s="247">
        <f>DSUM($B$69:$Z$74,W$69,$C$81:$D109)</f>
        <v>10.70170921638994</v>
      </c>
      <c r="X109" s="247">
        <f>DSUM($B$69:$Z$74,X$69,$C$81:$D109)</f>
        <v>10.70162045622752</v>
      </c>
      <c r="Y109" s="247"/>
      <c r="Z109" s="166">
        <f>DSUM($B$69:$Z$74,Z$69,$C$81:$D109)</f>
        <v>49.101696370350929</v>
      </c>
    </row>
    <row r="110" spans="2:26">
      <c r="B110" s="11" t="s">
        <v>769</v>
      </c>
      <c r="C110" s="272" t="s">
        <v>748</v>
      </c>
      <c r="D110" s="272" t="s">
        <v>759</v>
      </c>
      <c r="E110" s="247">
        <f>DSUM($B$69:$Z$74,E$69,$C$81:$D110)</f>
        <v>6.5856513615616823</v>
      </c>
      <c r="F110" s="247">
        <f>DSUM($B$69:$Z$74,F$69,$C$81:$D110)</f>
        <v>8.1490181577391567</v>
      </c>
      <c r="G110" s="247">
        <f>DSUM($B$69:$Z$74,G$69,$C$81:$D110)</f>
        <v>9.2657087264373512</v>
      </c>
      <c r="H110" s="247">
        <f>DSUM($B$69:$Z$74,H$69,$C$81:$D110)</f>
        <v>9.9636403318737248</v>
      </c>
      <c r="I110" s="247">
        <f>DSUM($B$69:$Z$74,I$69,$C$81:$D110)</f>
        <v>10.351380112671707</v>
      </c>
      <c r="J110" s="247">
        <f>DSUM($B$69:$Z$74,J$69,$C$81:$D110)</f>
        <v>10.581655873084529</v>
      </c>
      <c r="K110" s="247">
        <f>DSUM($B$69:$Z$74,K$69,$C$81:$D110)</f>
        <v>10.660817537777291</v>
      </c>
      <c r="L110" s="247">
        <f>DSUM($B$69:$Z$74,L$69,$C$81:$D110)</f>
        <v>10.690788107763575</v>
      </c>
      <c r="M110" s="247">
        <f>DSUM($B$69:$Z$74,M$69,$C$81:$D110)</f>
        <v>10.700425331767169</v>
      </c>
      <c r="N110" s="247">
        <f>DSUM($B$69:$Z$74,N$69,$C$81:$D110)</f>
        <v>10.702868936663634</v>
      </c>
      <c r="O110" s="247">
        <f>DSUM($B$69:$Z$74,O$69,$C$81:$D110)</f>
        <v>10.70313286058596</v>
      </c>
      <c r="P110" s="247">
        <f>DSUM($B$69:$Z$74,P$69,$C$81:$D110)</f>
        <v>10.702897532600542</v>
      </c>
      <c r="Q110" s="247">
        <f>DSUM($B$69:$Z$74,Q$69,$C$81:$D110)</f>
        <v>10.702610243199977</v>
      </c>
      <c r="R110" s="247">
        <f>DSUM($B$69:$Z$74,R$69,$C$81:$D110)</f>
        <v>10.702359929438828</v>
      </c>
      <c r="S110" s="247">
        <f>DSUM($B$69:$Z$74,S$69,$C$81:$D110)</f>
        <v>10.702162787400006</v>
      </c>
      <c r="T110" s="247">
        <f>DSUM($B$69:$Z$74,T$69,$C$81:$D110)</f>
        <v>10.702010442086506</v>
      </c>
      <c r="U110" s="247">
        <f>DSUM($B$69:$Z$74,U$69,$C$81:$D110)</f>
        <v>10.701898591086245</v>
      </c>
      <c r="V110" s="247">
        <f>DSUM($B$69:$Z$74,V$69,$C$81:$D110)</f>
        <v>10.701803343101679</v>
      </c>
      <c r="W110" s="247">
        <f>DSUM($B$69:$Z$74,W$69,$C$81:$D110)</f>
        <v>10.70170921638994</v>
      </c>
      <c r="X110" s="247">
        <f>DSUM($B$69:$Z$74,X$69,$C$81:$D110)</f>
        <v>10.70162045622752</v>
      </c>
      <c r="Y110" s="247"/>
      <c r="Z110" s="166">
        <f>DSUM($B$69:$Z$74,Z$69,$C$81:$D110)</f>
        <v>49.101696370350929</v>
      </c>
    </row>
    <row r="111" spans="2:26">
      <c r="B111" s="11" t="s">
        <v>770</v>
      </c>
      <c r="C111" s="272" t="s">
        <v>749</v>
      </c>
      <c r="D111" s="272" t="s">
        <v>760</v>
      </c>
      <c r="E111" s="247">
        <f>DSUM($B$69:$Z$74,E$69,$C$81:$D111)</f>
        <v>6.5856513615616823</v>
      </c>
      <c r="F111" s="247">
        <f>DSUM($B$69:$Z$74,F$69,$C$81:$D111)</f>
        <v>8.1490181577391567</v>
      </c>
      <c r="G111" s="247">
        <f>DSUM($B$69:$Z$74,G$69,$C$81:$D111)</f>
        <v>9.2657087264373512</v>
      </c>
      <c r="H111" s="247">
        <f>DSUM($B$69:$Z$74,H$69,$C$81:$D111)</f>
        <v>9.9636403318737248</v>
      </c>
      <c r="I111" s="247">
        <f>DSUM($B$69:$Z$74,I$69,$C$81:$D111)</f>
        <v>10.351380112671707</v>
      </c>
      <c r="J111" s="247">
        <f>DSUM($B$69:$Z$74,J$69,$C$81:$D111)</f>
        <v>10.581655873084529</v>
      </c>
      <c r="K111" s="247">
        <f>DSUM($B$69:$Z$74,K$69,$C$81:$D111)</f>
        <v>10.660817537777291</v>
      </c>
      <c r="L111" s="247">
        <f>DSUM($B$69:$Z$74,L$69,$C$81:$D111)</f>
        <v>10.690788107763575</v>
      </c>
      <c r="M111" s="247">
        <f>DSUM($B$69:$Z$74,M$69,$C$81:$D111)</f>
        <v>10.700425331767169</v>
      </c>
      <c r="N111" s="247">
        <f>DSUM($B$69:$Z$74,N$69,$C$81:$D111)</f>
        <v>10.702868936663634</v>
      </c>
      <c r="O111" s="247">
        <f>DSUM($B$69:$Z$74,O$69,$C$81:$D111)</f>
        <v>10.70313286058596</v>
      </c>
      <c r="P111" s="247">
        <f>DSUM($B$69:$Z$74,P$69,$C$81:$D111)</f>
        <v>10.702897532600542</v>
      </c>
      <c r="Q111" s="247">
        <f>DSUM($B$69:$Z$74,Q$69,$C$81:$D111)</f>
        <v>10.702610243199977</v>
      </c>
      <c r="R111" s="247">
        <f>DSUM($B$69:$Z$74,R$69,$C$81:$D111)</f>
        <v>10.702359929438828</v>
      </c>
      <c r="S111" s="247">
        <f>DSUM($B$69:$Z$74,S$69,$C$81:$D111)</f>
        <v>10.702162787400006</v>
      </c>
      <c r="T111" s="247">
        <f>DSUM($B$69:$Z$74,T$69,$C$81:$D111)</f>
        <v>10.702010442086506</v>
      </c>
      <c r="U111" s="247">
        <f>DSUM($B$69:$Z$74,U$69,$C$81:$D111)</f>
        <v>10.701898591086245</v>
      </c>
      <c r="V111" s="247">
        <f>DSUM($B$69:$Z$74,V$69,$C$81:$D111)</f>
        <v>10.701803343101679</v>
      </c>
      <c r="W111" s="247">
        <f>DSUM($B$69:$Z$74,W$69,$C$81:$D111)</f>
        <v>10.70170921638994</v>
      </c>
      <c r="X111" s="247">
        <f>DSUM($B$69:$Z$74,X$69,$C$81:$D111)</f>
        <v>10.70162045622752</v>
      </c>
      <c r="Y111" s="247"/>
      <c r="Z111" s="166">
        <f>DSUM($B$69:$Z$74,Z$69,$C$81:$D111)</f>
        <v>49.101696370350929</v>
      </c>
    </row>
    <row r="112" spans="2:26">
      <c r="B112" s="11" t="s">
        <v>771</v>
      </c>
      <c r="C112" s="272" t="s">
        <v>750</v>
      </c>
      <c r="D112" s="272" t="s">
        <v>761</v>
      </c>
      <c r="E112" s="247">
        <f>DSUM($B$69:$Z$74,E$69,$C$81:$D112)</f>
        <v>6.5856513615616823</v>
      </c>
      <c r="F112" s="247">
        <f>DSUM($B$69:$Z$74,F$69,$C$81:$D112)</f>
        <v>8.1490181577391567</v>
      </c>
      <c r="G112" s="247">
        <f>DSUM($B$69:$Z$74,G$69,$C$81:$D112)</f>
        <v>9.2657087264373512</v>
      </c>
      <c r="H112" s="247">
        <f>DSUM($B$69:$Z$74,H$69,$C$81:$D112)</f>
        <v>9.9636403318737248</v>
      </c>
      <c r="I112" s="247">
        <f>DSUM($B$69:$Z$74,I$69,$C$81:$D112)</f>
        <v>10.351380112671707</v>
      </c>
      <c r="J112" s="247">
        <f>DSUM($B$69:$Z$74,J$69,$C$81:$D112)</f>
        <v>10.581655873084529</v>
      </c>
      <c r="K112" s="247">
        <f>DSUM($B$69:$Z$74,K$69,$C$81:$D112)</f>
        <v>10.660817537777291</v>
      </c>
      <c r="L112" s="247">
        <f>DSUM($B$69:$Z$74,L$69,$C$81:$D112)</f>
        <v>10.690788107763575</v>
      </c>
      <c r="M112" s="247">
        <f>DSUM($B$69:$Z$74,M$69,$C$81:$D112)</f>
        <v>10.700425331767169</v>
      </c>
      <c r="N112" s="247">
        <f>DSUM($B$69:$Z$74,N$69,$C$81:$D112)</f>
        <v>10.702868936663634</v>
      </c>
      <c r="O112" s="247">
        <f>DSUM($B$69:$Z$74,O$69,$C$81:$D112)</f>
        <v>10.70313286058596</v>
      </c>
      <c r="P112" s="247">
        <f>DSUM($B$69:$Z$74,P$69,$C$81:$D112)</f>
        <v>10.702897532600542</v>
      </c>
      <c r="Q112" s="247">
        <f>DSUM($B$69:$Z$74,Q$69,$C$81:$D112)</f>
        <v>10.702610243199977</v>
      </c>
      <c r="R112" s="247">
        <f>DSUM($B$69:$Z$74,R$69,$C$81:$D112)</f>
        <v>10.702359929438828</v>
      </c>
      <c r="S112" s="247">
        <f>DSUM($B$69:$Z$74,S$69,$C$81:$D112)</f>
        <v>10.702162787400006</v>
      </c>
      <c r="T112" s="247">
        <f>DSUM($B$69:$Z$74,T$69,$C$81:$D112)</f>
        <v>10.702010442086506</v>
      </c>
      <c r="U112" s="247">
        <f>DSUM($B$69:$Z$74,U$69,$C$81:$D112)</f>
        <v>10.701898591086245</v>
      </c>
      <c r="V112" s="247">
        <f>DSUM($B$69:$Z$74,V$69,$C$81:$D112)</f>
        <v>10.701803343101679</v>
      </c>
      <c r="W112" s="247">
        <f>DSUM($B$69:$Z$74,W$69,$C$81:$D112)</f>
        <v>10.70170921638994</v>
      </c>
      <c r="X112" s="247">
        <f>DSUM($B$69:$Z$74,X$69,$C$81:$D112)</f>
        <v>10.70162045622752</v>
      </c>
      <c r="Y112" s="247"/>
      <c r="Z112" s="166">
        <f>DSUM($B$69:$Z$74,Z$69,$C$81:$D112)</f>
        <v>49.101696370350929</v>
      </c>
    </row>
    <row r="113" spans="1:26">
      <c r="B113" s="11" t="s">
        <v>772</v>
      </c>
      <c r="C113" s="272" t="s">
        <v>751</v>
      </c>
      <c r="D113" s="272" t="s">
        <v>773</v>
      </c>
      <c r="E113" s="247">
        <f>DSUM($B$69:$Z$74,E$69,$C$81:$D113)</f>
        <v>6.5856513615616823</v>
      </c>
      <c r="F113" s="247">
        <f>DSUM($B$69:$Z$74,F$69,$C$81:$D113)</f>
        <v>8.1490181577391567</v>
      </c>
      <c r="G113" s="247">
        <f>DSUM($B$69:$Z$74,G$69,$C$81:$D113)</f>
        <v>9.2657087264373512</v>
      </c>
      <c r="H113" s="247">
        <f>DSUM($B$69:$Z$74,H$69,$C$81:$D113)</f>
        <v>9.9636403318737248</v>
      </c>
      <c r="I113" s="247">
        <f>DSUM($B$69:$Z$74,I$69,$C$81:$D113)</f>
        <v>10.351380112671707</v>
      </c>
      <c r="J113" s="247">
        <f>DSUM($B$69:$Z$74,J$69,$C$81:$D113)</f>
        <v>10.581655873084529</v>
      </c>
      <c r="K113" s="247">
        <f>DSUM($B$69:$Z$74,K$69,$C$81:$D113)</f>
        <v>10.660817537777291</v>
      </c>
      <c r="L113" s="247">
        <f>DSUM($B$69:$Z$74,L$69,$C$81:$D113)</f>
        <v>10.690788107763575</v>
      </c>
      <c r="M113" s="247">
        <f>DSUM($B$69:$Z$74,M$69,$C$81:$D113)</f>
        <v>10.700425331767169</v>
      </c>
      <c r="N113" s="247">
        <f>DSUM($B$69:$Z$74,N$69,$C$81:$D113)</f>
        <v>10.702868936663634</v>
      </c>
      <c r="O113" s="247">
        <f>DSUM($B$69:$Z$74,O$69,$C$81:$D113)</f>
        <v>10.70313286058596</v>
      </c>
      <c r="P113" s="247">
        <f>DSUM($B$69:$Z$74,P$69,$C$81:$D113)</f>
        <v>10.702897532600542</v>
      </c>
      <c r="Q113" s="247">
        <f>DSUM($B$69:$Z$74,Q$69,$C$81:$D113)</f>
        <v>10.702610243199977</v>
      </c>
      <c r="R113" s="247">
        <f>DSUM($B$69:$Z$74,R$69,$C$81:$D113)</f>
        <v>10.702359929438828</v>
      </c>
      <c r="S113" s="247">
        <f>DSUM($B$69:$Z$74,S$69,$C$81:$D113)</f>
        <v>10.702162787400006</v>
      </c>
      <c r="T113" s="247">
        <f>DSUM($B$69:$Z$74,T$69,$C$81:$D113)</f>
        <v>10.702010442086506</v>
      </c>
      <c r="U113" s="247">
        <f>DSUM($B$69:$Z$74,U$69,$C$81:$D113)</f>
        <v>10.701898591086245</v>
      </c>
      <c r="V113" s="247">
        <f>DSUM($B$69:$Z$74,V$69,$C$81:$D113)</f>
        <v>10.701803343101679</v>
      </c>
      <c r="W113" s="247">
        <f>DSUM($B$69:$Z$74,W$69,$C$81:$D113)</f>
        <v>10.70170921638994</v>
      </c>
      <c r="X113" s="247">
        <f>DSUM($B$69:$Z$74,X$69,$C$81:$D113)</f>
        <v>10.70162045622752</v>
      </c>
      <c r="Y113" s="247"/>
      <c r="Z113" s="166">
        <f>DSUM($B$69:$Z$74,Z$69,$C$81:$D113)</f>
        <v>49.101696370350929</v>
      </c>
    </row>
    <row r="116" spans="1:26" ht="15">
      <c r="A116" s="433" t="s">
        <v>728</v>
      </c>
      <c r="B116" s="433"/>
    </row>
    <row r="117" spans="1:26" ht="15">
      <c r="C117" s="258" t="s">
        <v>1001</v>
      </c>
      <c r="D117" s="258" t="str">
        <f>C8</f>
        <v>Street and Roadway Lighting-NR</v>
      </c>
      <c r="E117" s="407">
        <f>E11</f>
        <v>2016</v>
      </c>
      <c r="F117" s="407">
        <f t="shared" ref="F117:X117" si="48">F11</f>
        <v>2017</v>
      </c>
      <c r="G117" s="407">
        <f t="shared" si="48"/>
        <v>2018</v>
      </c>
      <c r="H117" s="407">
        <f t="shared" si="48"/>
        <v>2019</v>
      </c>
      <c r="I117" s="407">
        <f t="shared" si="48"/>
        <v>2020</v>
      </c>
      <c r="J117" s="407">
        <f t="shared" si="48"/>
        <v>2021</v>
      </c>
      <c r="K117" s="407">
        <f t="shared" si="48"/>
        <v>2022</v>
      </c>
      <c r="L117" s="407">
        <f t="shared" si="48"/>
        <v>2023</v>
      </c>
      <c r="M117" s="407">
        <f t="shared" si="48"/>
        <v>2024</v>
      </c>
      <c r="N117" s="407">
        <f t="shared" si="48"/>
        <v>2025</v>
      </c>
      <c r="O117" s="407">
        <f t="shared" si="48"/>
        <v>2026</v>
      </c>
      <c r="P117" s="407">
        <f t="shared" si="48"/>
        <v>2027</v>
      </c>
      <c r="Q117" s="407">
        <f t="shared" si="48"/>
        <v>2028</v>
      </c>
      <c r="R117" s="407">
        <f t="shared" si="48"/>
        <v>2029</v>
      </c>
      <c r="S117" s="407">
        <f t="shared" si="48"/>
        <v>2030</v>
      </c>
      <c r="T117" s="407">
        <f t="shared" si="48"/>
        <v>2031</v>
      </c>
      <c r="U117" s="407">
        <f t="shared" si="48"/>
        <v>2032</v>
      </c>
      <c r="V117" s="407">
        <f t="shared" si="48"/>
        <v>2033</v>
      </c>
      <c r="W117" s="407">
        <f t="shared" si="48"/>
        <v>2034</v>
      </c>
      <c r="X117" s="407">
        <f t="shared" si="48"/>
        <v>2035</v>
      </c>
      <c r="Y117" s="258"/>
    </row>
    <row r="118" spans="1:26" ht="15">
      <c r="C118" s="258">
        <f>C9</f>
        <v>2035</v>
      </c>
      <c r="D118" s="258"/>
      <c r="E118" s="408" t="str">
        <f>CONCATENATE("aMW_",E$11)</f>
        <v>aMW_2016</v>
      </c>
      <c r="F118" s="408" t="str">
        <f t="shared" ref="F118:X118" si="49">CONCATENATE("aMW_",F$11)</f>
        <v>aMW_2017</v>
      </c>
      <c r="G118" s="408" t="str">
        <f t="shared" si="49"/>
        <v>aMW_2018</v>
      </c>
      <c r="H118" s="408" t="str">
        <f t="shared" si="49"/>
        <v>aMW_2019</v>
      </c>
      <c r="I118" s="408" t="str">
        <f t="shared" si="49"/>
        <v>aMW_2020</v>
      </c>
      <c r="J118" s="408" t="str">
        <f t="shared" si="49"/>
        <v>aMW_2021</v>
      </c>
      <c r="K118" s="408" t="str">
        <f t="shared" si="49"/>
        <v>aMW_2022</v>
      </c>
      <c r="L118" s="408" t="str">
        <f t="shared" si="49"/>
        <v>aMW_2023</v>
      </c>
      <c r="M118" s="408" t="str">
        <f t="shared" si="49"/>
        <v>aMW_2024</v>
      </c>
      <c r="N118" s="408" t="str">
        <f t="shared" si="49"/>
        <v>aMW_2025</v>
      </c>
      <c r="O118" s="408" t="str">
        <f t="shared" si="49"/>
        <v>aMW_2026</v>
      </c>
      <c r="P118" s="408" t="str">
        <f t="shared" si="49"/>
        <v>aMW_2027</v>
      </c>
      <c r="Q118" s="408" t="str">
        <f t="shared" si="49"/>
        <v>aMW_2028</v>
      </c>
      <c r="R118" s="408" t="str">
        <f t="shared" si="49"/>
        <v>aMW_2029</v>
      </c>
      <c r="S118" s="408" t="str">
        <f t="shared" si="49"/>
        <v>aMW_2030</v>
      </c>
      <c r="T118" s="408" t="str">
        <f t="shared" si="49"/>
        <v>aMW_2031</v>
      </c>
      <c r="U118" s="408" t="str">
        <f t="shared" si="49"/>
        <v>aMW_2032</v>
      </c>
      <c r="V118" s="408" t="str">
        <f t="shared" si="49"/>
        <v>aMW_2033</v>
      </c>
      <c r="W118" s="408" t="str">
        <f t="shared" si="49"/>
        <v>aMW_2034</v>
      </c>
      <c r="X118" s="408" t="str">
        <f t="shared" si="49"/>
        <v>aMW_2035</v>
      </c>
      <c r="Y118" s="271"/>
      <c r="Z118" s="410" t="s">
        <v>777</v>
      </c>
    </row>
    <row r="119" spans="1:26">
      <c r="C119" s="11" t="s">
        <v>640</v>
      </c>
      <c r="E119" s="264">
        <f t="shared" ref="E119:X119" si="50">E82</f>
        <v>6.0466377074512216</v>
      </c>
      <c r="F119" s="264">
        <f t="shared" si="50"/>
        <v>7.4820481325336488</v>
      </c>
      <c r="G119" s="264">
        <f t="shared" si="50"/>
        <v>8.5073412933068102</v>
      </c>
      <c r="H119" s="264">
        <f t="shared" si="50"/>
        <v>9.1481495187900386</v>
      </c>
      <c r="I119" s="264">
        <f t="shared" si="50"/>
        <v>9.5041540885029399</v>
      </c>
      <c r="J119" s="264">
        <f t="shared" si="50"/>
        <v>9.7155825440314434</v>
      </c>
      <c r="K119" s="264">
        <f t="shared" si="50"/>
        <v>9.7882650898324037</v>
      </c>
      <c r="L119" s="264">
        <f t="shared" si="50"/>
        <v>9.8157826683745366</v>
      </c>
      <c r="M119" s="264">
        <f t="shared" si="50"/>
        <v>9.8246311176555601</v>
      </c>
      <c r="N119" s="264">
        <f t="shared" si="50"/>
        <v>9.8268747216208894</v>
      </c>
      <c r="O119" s="264">
        <f t="shared" si="50"/>
        <v>9.8271170442482223</v>
      </c>
      <c r="P119" s="264">
        <f t="shared" si="50"/>
        <v>9.8269009770754963</v>
      </c>
      <c r="Q119" s="264">
        <f t="shared" si="50"/>
        <v>9.8266372013565846</v>
      </c>
      <c r="R119" s="264">
        <f t="shared" si="50"/>
        <v>9.8264073749440151</v>
      </c>
      <c r="S119" s="264">
        <f t="shared" si="50"/>
        <v>9.826226368325198</v>
      </c>
      <c r="T119" s="264">
        <f t="shared" si="50"/>
        <v>9.8260864919687698</v>
      </c>
      <c r="U119" s="264">
        <f t="shared" si="50"/>
        <v>9.825983795600763</v>
      </c>
      <c r="V119" s="264">
        <f t="shared" si="50"/>
        <v>9.8258963433468516</v>
      </c>
      <c r="W119" s="264">
        <f t="shared" si="50"/>
        <v>9.8258099205933185</v>
      </c>
      <c r="X119" s="264">
        <f t="shared" si="50"/>
        <v>9.825728425154896</v>
      </c>
      <c r="Y119" s="264"/>
      <c r="Z119" s="264">
        <f t="shared" ref="Z119" si="51">Z82</f>
        <v>45.528846149543099</v>
      </c>
    </row>
    <row r="120" spans="1:26">
      <c r="C120" s="11" t="s">
        <v>641</v>
      </c>
      <c r="E120" s="264">
        <f t="shared" ref="E120:X120" si="52">E83-E82</f>
        <v>0.53901365411046065</v>
      </c>
      <c r="F120" s="264">
        <f t="shared" si="52"/>
        <v>0.66697002520550797</v>
      </c>
      <c r="G120" s="264">
        <f t="shared" si="52"/>
        <v>0.758367433130541</v>
      </c>
      <c r="H120" s="264">
        <f t="shared" si="52"/>
        <v>0.81549081308368621</v>
      </c>
      <c r="I120" s="264">
        <f t="shared" si="52"/>
        <v>0.84722602416876747</v>
      </c>
      <c r="J120" s="264">
        <f t="shared" si="52"/>
        <v>0.86607332905308532</v>
      </c>
      <c r="K120" s="264">
        <f t="shared" si="52"/>
        <v>0.87255244794488718</v>
      </c>
      <c r="L120" s="264">
        <f t="shared" si="52"/>
        <v>0.87500543938903874</v>
      </c>
      <c r="M120" s="264">
        <f t="shared" si="52"/>
        <v>0.87579421411160929</v>
      </c>
      <c r="N120" s="264">
        <f t="shared" si="52"/>
        <v>0.87599421504274488</v>
      </c>
      <c r="O120" s="264">
        <f t="shared" si="52"/>
        <v>0.87601581633773762</v>
      </c>
      <c r="P120" s="264">
        <f t="shared" si="52"/>
        <v>0.8759965555250453</v>
      </c>
      <c r="Q120" s="264">
        <f t="shared" si="52"/>
        <v>0.87597304184339286</v>
      </c>
      <c r="R120" s="264">
        <f t="shared" si="52"/>
        <v>0.87595255449481257</v>
      </c>
      <c r="S120" s="264">
        <f t="shared" si="52"/>
        <v>0.87593641907480801</v>
      </c>
      <c r="T120" s="264">
        <f t="shared" si="52"/>
        <v>0.87592395011773583</v>
      </c>
      <c r="U120" s="264">
        <f t="shared" si="52"/>
        <v>0.87591479548548179</v>
      </c>
      <c r="V120" s="264">
        <f t="shared" si="52"/>
        <v>0.875906999754827</v>
      </c>
      <c r="W120" s="264">
        <f t="shared" si="52"/>
        <v>0.8758992957966214</v>
      </c>
      <c r="X120" s="264">
        <f t="shared" si="52"/>
        <v>0.87589203107262392</v>
      </c>
      <c r="Y120" s="264"/>
      <c r="Z120" s="264">
        <f t="shared" ref="Z120" si="53">Z83-Z82</f>
        <v>3.5728502208078297</v>
      </c>
    </row>
    <row r="121" spans="1:26">
      <c r="C121" s="11" t="s">
        <v>642</v>
      </c>
      <c r="E121" s="264">
        <f t="shared" ref="E121:X121" si="54">E84-E83</f>
        <v>0</v>
      </c>
      <c r="F121" s="264">
        <f t="shared" si="54"/>
        <v>0</v>
      </c>
      <c r="G121" s="264">
        <f t="shared" si="54"/>
        <v>0</v>
      </c>
      <c r="H121" s="264">
        <f t="shared" si="54"/>
        <v>0</v>
      </c>
      <c r="I121" s="264">
        <f t="shared" si="54"/>
        <v>0</v>
      </c>
      <c r="J121" s="264">
        <f t="shared" si="54"/>
        <v>0</v>
      </c>
      <c r="K121" s="264">
        <f t="shared" si="54"/>
        <v>0</v>
      </c>
      <c r="L121" s="264">
        <f t="shared" si="54"/>
        <v>0</v>
      </c>
      <c r="M121" s="264">
        <f t="shared" si="54"/>
        <v>0</v>
      </c>
      <c r="N121" s="264">
        <f t="shared" si="54"/>
        <v>0</v>
      </c>
      <c r="O121" s="264">
        <f t="shared" si="54"/>
        <v>0</v>
      </c>
      <c r="P121" s="264">
        <f t="shared" si="54"/>
        <v>0</v>
      </c>
      <c r="Q121" s="264">
        <f t="shared" si="54"/>
        <v>0</v>
      </c>
      <c r="R121" s="264">
        <f t="shared" si="54"/>
        <v>0</v>
      </c>
      <c r="S121" s="264">
        <f t="shared" si="54"/>
        <v>0</v>
      </c>
      <c r="T121" s="264">
        <f t="shared" si="54"/>
        <v>0</v>
      </c>
      <c r="U121" s="264">
        <f t="shared" si="54"/>
        <v>0</v>
      </c>
      <c r="V121" s="264">
        <f t="shared" si="54"/>
        <v>0</v>
      </c>
      <c r="W121" s="264">
        <f t="shared" si="54"/>
        <v>0</v>
      </c>
      <c r="X121" s="264">
        <f t="shared" si="54"/>
        <v>0</v>
      </c>
      <c r="Y121" s="264"/>
      <c r="Z121" s="264">
        <f t="shared" ref="Z121" si="55">Z84-Z83</f>
        <v>0</v>
      </c>
    </row>
    <row r="122" spans="1:26">
      <c r="C122" s="11" t="s">
        <v>643</v>
      </c>
      <c r="E122" s="264">
        <f t="shared" ref="E122:X122" si="56">E85-E84</f>
        <v>0</v>
      </c>
      <c r="F122" s="264">
        <f t="shared" si="56"/>
        <v>0</v>
      </c>
      <c r="G122" s="264">
        <f t="shared" si="56"/>
        <v>0</v>
      </c>
      <c r="H122" s="264">
        <f t="shared" si="56"/>
        <v>0</v>
      </c>
      <c r="I122" s="264">
        <f t="shared" si="56"/>
        <v>0</v>
      </c>
      <c r="J122" s="264">
        <f t="shared" si="56"/>
        <v>0</v>
      </c>
      <c r="K122" s="264">
        <f t="shared" si="56"/>
        <v>0</v>
      </c>
      <c r="L122" s="264">
        <f t="shared" si="56"/>
        <v>0</v>
      </c>
      <c r="M122" s="264">
        <f t="shared" si="56"/>
        <v>0</v>
      </c>
      <c r="N122" s="264">
        <f t="shared" si="56"/>
        <v>0</v>
      </c>
      <c r="O122" s="264">
        <f t="shared" si="56"/>
        <v>0</v>
      </c>
      <c r="P122" s="264">
        <f t="shared" si="56"/>
        <v>0</v>
      </c>
      <c r="Q122" s="264">
        <f t="shared" si="56"/>
        <v>0</v>
      </c>
      <c r="R122" s="264">
        <f t="shared" si="56"/>
        <v>0</v>
      </c>
      <c r="S122" s="264">
        <f t="shared" si="56"/>
        <v>0</v>
      </c>
      <c r="T122" s="264">
        <f t="shared" si="56"/>
        <v>0</v>
      </c>
      <c r="U122" s="264">
        <f t="shared" si="56"/>
        <v>0</v>
      </c>
      <c r="V122" s="264">
        <f t="shared" si="56"/>
        <v>0</v>
      </c>
      <c r="W122" s="264">
        <f t="shared" si="56"/>
        <v>0</v>
      </c>
      <c r="X122" s="264">
        <f t="shared" si="56"/>
        <v>0</v>
      </c>
      <c r="Y122" s="264"/>
      <c r="Z122" s="264">
        <f t="shared" ref="Z122" si="57">Z85-Z84</f>
        <v>0</v>
      </c>
    </row>
    <row r="123" spans="1:26">
      <c r="C123" s="11" t="s">
        <v>644</v>
      </c>
      <c r="E123" s="264">
        <f t="shared" ref="E123:X123" si="58">E86-E85</f>
        <v>0</v>
      </c>
      <c r="F123" s="264">
        <f t="shared" si="58"/>
        <v>0</v>
      </c>
      <c r="G123" s="264">
        <f t="shared" si="58"/>
        <v>0</v>
      </c>
      <c r="H123" s="264">
        <f t="shared" si="58"/>
        <v>0</v>
      </c>
      <c r="I123" s="264">
        <f t="shared" si="58"/>
        <v>0</v>
      </c>
      <c r="J123" s="264">
        <f t="shared" si="58"/>
        <v>0</v>
      </c>
      <c r="K123" s="264">
        <f t="shared" si="58"/>
        <v>0</v>
      </c>
      <c r="L123" s="264">
        <f t="shared" si="58"/>
        <v>0</v>
      </c>
      <c r="M123" s="264">
        <f t="shared" si="58"/>
        <v>0</v>
      </c>
      <c r="N123" s="264">
        <f t="shared" si="58"/>
        <v>0</v>
      </c>
      <c r="O123" s="264">
        <f t="shared" si="58"/>
        <v>0</v>
      </c>
      <c r="P123" s="264">
        <f t="shared" si="58"/>
        <v>0</v>
      </c>
      <c r="Q123" s="264">
        <f t="shared" si="58"/>
        <v>0</v>
      </c>
      <c r="R123" s="264">
        <f t="shared" si="58"/>
        <v>0</v>
      </c>
      <c r="S123" s="264">
        <f t="shared" si="58"/>
        <v>0</v>
      </c>
      <c r="T123" s="264">
        <f t="shared" si="58"/>
        <v>0</v>
      </c>
      <c r="U123" s="264">
        <f t="shared" si="58"/>
        <v>0</v>
      </c>
      <c r="V123" s="264">
        <f t="shared" si="58"/>
        <v>0</v>
      </c>
      <c r="W123" s="264">
        <f t="shared" si="58"/>
        <v>0</v>
      </c>
      <c r="X123" s="264">
        <f t="shared" si="58"/>
        <v>0</v>
      </c>
      <c r="Y123" s="264"/>
      <c r="Z123" s="264">
        <f t="shared" ref="Z123" si="59">Z86-Z85</f>
        <v>0</v>
      </c>
    </row>
    <row r="124" spans="1:26">
      <c r="C124" s="11" t="s">
        <v>645</v>
      </c>
      <c r="E124" s="264">
        <f t="shared" ref="E124:X124" si="60">E87-E86</f>
        <v>0</v>
      </c>
      <c r="F124" s="264">
        <f t="shared" si="60"/>
        <v>0</v>
      </c>
      <c r="G124" s="264">
        <f t="shared" si="60"/>
        <v>0</v>
      </c>
      <c r="H124" s="264">
        <f t="shared" si="60"/>
        <v>0</v>
      </c>
      <c r="I124" s="264">
        <f t="shared" si="60"/>
        <v>0</v>
      </c>
      <c r="J124" s="264">
        <f t="shared" si="60"/>
        <v>0</v>
      </c>
      <c r="K124" s="264">
        <f t="shared" si="60"/>
        <v>0</v>
      </c>
      <c r="L124" s="264">
        <f t="shared" si="60"/>
        <v>0</v>
      </c>
      <c r="M124" s="264">
        <f t="shared" si="60"/>
        <v>0</v>
      </c>
      <c r="N124" s="264">
        <f t="shared" si="60"/>
        <v>0</v>
      </c>
      <c r="O124" s="264">
        <f t="shared" si="60"/>
        <v>0</v>
      </c>
      <c r="P124" s="264">
        <f t="shared" si="60"/>
        <v>0</v>
      </c>
      <c r="Q124" s="264">
        <f t="shared" si="60"/>
        <v>0</v>
      </c>
      <c r="R124" s="264">
        <f t="shared" si="60"/>
        <v>0</v>
      </c>
      <c r="S124" s="264">
        <f t="shared" si="60"/>
        <v>0</v>
      </c>
      <c r="T124" s="264">
        <f t="shared" si="60"/>
        <v>0</v>
      </c>
      <c r="U124" s="264">
        <f t="shared" si="60"/>
        <v>0</v>
      </c>
      <c r="V124" s="264">
        <f t="shared" si="60"/>
        <v>0</v>
      </c>
      <c r="W124" s="264">
        <f t="shared" si="60"/>
        <v>0</v>
      </c>
      <c r="X124" s="264">
        <f t="shared" si="60"/>
        <v>0</v>
      </c>
      <c r="Y124" s="264"/>
      <c r="Z124" s="264">
        <f t="shared" ref="Z124" si="61">Z87-Z86</f>
        <v>0</v>
      </c>
    </row>
    <row r="125" spans="1:26">
      <c r="C125" s="11" t="s">
        <v>646</v>
      </c>
      <c r="E125" s="264">
        <f t="shared" ref="E125:X125" si="62">E88-E87</f>
        <v>0</v>
      </c>
      <c r="F125" s="264">
        <f t="shared" si="62"/>
        <v>0</v>
      </c>
      <c r="G125" s="264">
        <f t="shared" si="62"/>
        <v>0</v>
      </c>
      <c r="H125" s="264">
        <f t="shared" si="62"/>
        <v>0</v>
      </c>
      <c r="I125" s="264">
        <f t="shared" si="62"/>
        <v>0</v>
      </c>
      <c r="J125" s="264">
        <f t="shared" si="62"/>
        <v>0</v>
      </c>
      <c r="K125" s="264">
        <f t="shared" si="62"/>
        <v>0</v>
      </c>
      <c r="L125" s="264">
        <f t="shared" si="62"/>
        <v>0</v>
      </c>
      <c r="M125" s="264">
        <f t="shared" si="62"/>
        <v>0</v>
      </c>
      <c r="N125" s="264">
        <f t="shared" si="62"/>
        <v>0</v>
      </c>
      <c r="O125" s="264">
        <f t="shared" si="62"/>
        <v>0</v>
      </c>
      <c r="P125" s="264">
        <f t="shared" si="62"/>
        <v>0</v>
      </c>
      <c r="Q125" s="264">
        <f t="shared" si="62"/>
        <v>0</v>
      </c>
      <c r="R125" s="264">
        <f t="shared" si="62"/>
        <v>0</v>
      </c>
      <c r="S125" s="264">
        <f t="shared" si="62"/>
        <v>0</v>
      </c>
      <c r="T125" s="264">
        <f t="shared" si="62"/>
        <v>0</v>
      </c>
      <c r="U125" s="264">
        <f t="shared" si="62"/>
        <v>0</v>
      </c>
      <c r="V125" s="264">
        <f t="shared" si="62"/>
        <v>0</v>
      </c>
      <c r="W125" s="264">
        <f t="shared" si="62"/>
        <v>0</v>
      </c>
      <c r="X125" s="264">
        <f t="shared" si="62"/>
        <v>0</v>
      </c>
      <c r="Y125" s="264"/>
      <c r="Z125" s="264">
        <f t="shared" ref="Z125" si="63">Z88-Z87</f>
        <v>0</v>
      </c>
    </row>
    <row r="126" spans="1:26">
      <c r="C126" s="11" t="s">
        <v>647</v>
      </c>
      <c r="E126" s="264">
        <f t="shared" ref="E126:X126" si="64">E89-E88</f>
        <v>0</v>
      </c>
      <c r="F126" s="264">
        <f t="shared" si="64"/>
        <v>0</v>
      </c>
      <c r="G126" s="264">
        <f t="shared" si="64"/>
        <v>0</v>
      </c>
      <c r="H126" s="264">
        <f t="shared" si="64"/>
        <v>0</v>
      </c>
      <c r="I126" s="264">
        <f t="shared" si="64"/>
        <v>0</v>
      </c>
      <c r="J126" s="264">
        <f t="shared" si="64"/>
        <v>0</v>
      </c>
      <c r="K126" s="264">
        <f t="shared" si="64"/>
        <v>0</v>
      </c>
      <c r="L126" s="264">
        <f t="shared" si="64"/>
        <v>0</v>
      </c>
      <c r="M126" s="264">
        <f t="shared" si="64"/>
        <v>0</v>
      </c>
      <c r="N126" s="264">
        <f t="shared" si="64"/>
        <v>0</v>
      </c>
      <c r="O126" s="264">
        <f t="shared" si="64"/>
        <v>0</v>
      </c>
      <c r="P126" s="264">
        <f t="shared" si="64"/>
        <v>0</v>
      </c>
      <c r="Q126" s="264">
        <f t="shared" si="64"/>
        <v>0</v>
      </c>
      <c r="R126" s="264">
        <f t="shared" si="64"/>
        <v>0</v>
      </c>
      <c r="S126" s="264">
        <f t="shared" si="64"/>
        <v>0</v>
      </c>
      <c r="T126" s="264">
        <f t="shared" si="64"/>
        <v>0</v>
      </c>
      <c r="U126" s="264">
        <f t="shared" si="64"/>
        <v>0</v>
      </c>
      <c r="V126" s="264">
        <f t="shared" si="64"/>
        <v>0</v>
      </c>
      <c r="W126" s="264">
        <f t="shared" si="64"/>
        <v>0</v>
      </c>
      <c r="X126" s="264">
        <f t="shared" si="64"/>
        <v>0</v>
      </c>
      <c r="Y126" s="264"/>
      <c r="Z126" s="264">
        <f t="shared" ref="Z126" si="65">Z89-Z88</f>
        <v>0</v>
      </c>
    </row>
    <row r="127" spans="1:26">
      <c r="C127" s="11" t="s">
        <v>648</v>
      </c>
      <c r="E127" s="264">
        <f t="shared" ref="E127:X127" si="66">E90-E89</f>
        <v>0</v>
      </c>
      <c r="F127" s="264">
        <f t="shared" si="66"/>
        <v>0</v>
      </c>
      <c r="G127" s="264">
        <f t="shared" si="66"/>
        <v>0</v>
      </c>
      <c r="H127" s="264">
        <f t="shared" si="66"/>
        <v>0</v>
      </c>
      <c r="I127" s="264">
        <f t="shared" si="66"/>
        <v>0</v>
      </c>
      <c r="J127" s="264">
        <f t="shared" si="66"/>
        <v>0</v>
      </c>
      <c r="K127" s="264">
        <f t="shared" si="66"/>
        <v>0</v>
      </c>
      <c r="L127" s="264">
        <f t="shared" si="66"/>
        <v>0</v>
      </c>
      <c r="M127" s="264">
        <f t="shared" si="66"/>
        <v>0</v>
      </c>
      <c r="N127" s="264">
        <f t="shared" si="66"/>
        <v>0</v>
      </c>
      <c r="O127" s="264">
        <f t="shared" si="66"/>
        <v>0</v>
      </c>
      <c r="P127" s="264">
        <f t="shared" si="66"/>
        <v>0</v>
      </c>
      <c r="Q127" s="264">
        <f t="shared" si="66"/>
        <v>0</v>
      </c>
      <c r="R127" s="264">
        <f t="shared" si="66"/>
        <v>0</v>
      </c>
      <c r="S127" s="264">
        <f t="shared" si="66"/>
        <v>0</v>
      </c>
      <c r="T127" s="264">
        <f t="shared" si="66"/>
        <v>0</v>
      </c>
      <c r="U127" s="264">
        <f t="shared" si="66"/>
        <v>0</v>
      </c>
      <c r="V127" s="264">
        <f t="shared" si="66"/>
        <v>0</v>
      </c>
      <c r="W127" s="264">
        <f t="shared" si="66"/>
        <v>0</v>
      </c>
      <c r="X127" s="264">
        <f t="shared" si="66"/>
        <v>0</v>
      </c>
      <c r="Y127" s="264"/>
      <c r="Z127" s="264">
        <f t="shared" ref="Z127" si="67">Z90-Z89</f>
        <v>0</v>
      </c>
    </row>
    <row r="128" spans="1:26">
      <c r="C128" s="11" t="s">
        <v>649</v>
      </c>
      <c r="E128" s="264">
        <f t="shared" ref="E128:X128" si="68">E91-E90</f>
        <v>0</v>
      </c>
      <c r="F128" s="264">
        <f t="shared" si="68"/>
        <v>0</v>
      </c>
      <c r="G128" s="264">
        <f t="shared" si="68"/>
        <v>0</v>
      </c>
      <c r="H128" s="264">
        <f t="shared" si="68"/>
        <v>0</v>
      </c>
      <c r="I128" s="264">
        <f t="shared" si="68"/>
        <v>0</v>
      </c>
      <c r="J128" s="264">
        <f t="shared" si="68"/>
        <v>0</v>
      </c>
      <c r="K128" s="264">
        <f t="shared" si="68"/>
        <v>0</v>
      </c>
      <c r="L128" s="264">
        <f t="shared" si="68"/>
        <v>0</v>
      </c>
      <c r="M128" s="264">
        <f t="shared" si="68"/>
        <v>0</v>
      </c>
      <c r="N128" s="264">
        <f t="shared" si="68"/>
        <v>0</v>
      </c>
      <c r="O128" s="264">
        <f t="shared" si="68"/>
        <v>0</v>
      </c>
      <c r="P128" s="264">
        <f t="shared" si="68"/>
        <v>0</v>
      </c>
      <c r="Q128" s="264">
        <f t="shared" si="68"/>
        <v>0</v>
      </c>
      <c r="R128" s="264">
        <f t="shared" si="68"/>
        <v>0</v>
      </c>
      <c r="S128" s="264">
        <f t="shared" si="68"/>
        <v>0</v>
      </c>
      <c r="T128" s="264">
        <f t="shared" si="68"/>
        <v>0</v>
      </c>
      <c r="U128" s="264">
        <f t="shared" si="68"/>
        <v>0</v>
      </c>
      <c r="V128" s="264">
        <f t="shared" si="68"/>
        <v>0</v>
      </c>
      <c r="W128" s="264">
        <f t="shared" si="68"/>
        <v>0</v>
      </c>
      <c r="X128" s="264">
        <f t="shared" si="68"/>
        <v>0</v>
      </c>
      <c r="Y128" s="264"/>
      <c r="Z128" s="264">
        <f t="shared" ref="Z128" si="69">Z91-Z90</f>
        <v>0</v>
      </c>
    </row>
    <row r="129" spans="3:26">
      <c r="C129" s="11" t="s">
        <v>650</v>
      </c>
      <c r="E129" s="264">
        <f t="shared" ref="E129:X129" si="70">E92-E91</f>
        <v>0</v>
      </c>
      <c r="F129" s="264">
        <f t="shared" si="70"/>
        <v>0</v>
      </c>
      <c r="G129" s="264">
        <f t="shared" si="70"/>
        <v>0</v>
      </c>
      <c r="H129" s="264">
        <f t="shared" si="70"/>
        <v>0</v>
      </c>
      <c r="I129" s="264">
        <f t="shared" si="70"/>
        <v>0</v>
      </c>
      <c r="J129" s="264">
        <f t="shared" si="70"/>
        <v>0</v>
      </c>
      <c r="K129" s="264">
        <f t="shared" si="70"/>
        <v>0</v>
      </c>
      <c r="L129" s="264">
        <f t="shared" si="70"/>
        <v>0</v>
      </c>
      <c r="M129" s="264">
        <f t="shared" si="70"/>
        <v>0</v>
      </c>
      <c r="N129" s="264">
        <f t="shared" si="70"/>
        <v>0</v>
      </c>
      <c r="O129" s="264">
        <f t="shared" si="70"/>
        <v>0</v>
      </c>
      <c r="P129" s="264">
        <f t="shared" si="70"/>
        <v>0</v>
      </c>
      <c r="Q129" s="264">
        <f t="shared" si="70"/>
        <v>0</v>
      </c>
      <c r="R129" s="264">
        <f t="shared" si="70"/>
        <v>0</v>
      </c>
      <c r="S129" s="264">
        <f t="shared" si="70"/>
        <v>0</v>
      </c>
      <c r="T129" s="264">
        <f t="shared" si="70"/>
        <v>0</v>
      </c>
      <c r="U129" s="264">
        <f t="shared" si="70"/>
        <v>0</v>
      </c>
      <c r="V129" s="264">
        <f t="shared" si="70"/>
        <v>0</v>
      </c>
      <c r="W129" s="264">
        <f t="shared" si="70"/>
        <v>0</v>
      </c>
      <c r="X129" s="264">
        <f t="shared" si="70"/>
        <v>0</v>
      </c>
      <c r="Y129" s="264"/>
      <c r="Z129" s="264">
        <f t="shared" ref="Z129" si="71">Z92-Z91</f>
        <v>0</v>
      </c>
    </row>
    <row r="130" spans="3:26">
      <c r="C130" s="11" t="s">
        <v>651</v>
      </c>
      <c r="E130" s="264">
        <f t="shared" ref="E130:X130" si="72">E93-E92</f>
        <v>0</v>
      </c>
      <c r="F130" s="264">
        <f t="shared" si="72"/>
        <v>0</v>
      </c>
      <c r="G130" s="264">
        <f t="shared" si="72"/>
        <v>0</v>
      </c>
      <c r="H130" s="264">
        <f t="shared" si="72"/>
        <v>0</v>
      </c>
      <c r="I130" s="264">
        <f t="shared" si="72"/>
        <v>0</v>
      </c>
      <c r="J130" s="264">
        <f t="shared" si="72"/>
        <v>0</v>
      </c>
      <c r="K130" s="264">
        <f t="shared" si="72"/>
        <v>0</v>
      </c>
      <c r="L130" s="264">
        <f t="shared" si="72"/>
        <v>0</v>
      </c>
      <c r="M130" s="264">
        <f t="shared" si="72"/>
        <v>0</v>
      </c>
      <c r="N130" s="264">
        <f t="shared" si="72"/>
        <v>0</v>
      </c>
      <c r="O130" s="264">
        <f t="shared" si="72"/>
        <v>0</v>
      </c>
      <c r="P130" s="264">
        <f t="shared" si="72"/>
        <v>0</v>
      </c>
      <c r="Q130" s="264">
        <f t="shared" si="72"/>
        <v>0</v>
      </c>
      <c r="R130" s="264">
        <f t="shared" si="72"/>
        <v>0</v>
      </c>
      <c r="S130" s="264">
        <f t="shared" si="72"/>
        <v>0</v>
      </c>
      <c r="T130" s="264">
        <f t="shared" si="72"/>
        <v>0</v>
      </c>
      <c r="U130" s="264">
        <f t="shared" si="72"/>
        <v>0</v>
      </c>
      <c r="V130" s="264">
        <f t="shared" si="72"/>
        <v>0</v>
      </c>
      <c r="W130" s="264">
        <f t="shared" si="72"/>
        <v>0</v>
      </c>
      <c r="X130" s="264">
        <f t="shared" si="72"/>
        <v>0</v>
      </c>
      <c r="Y130" s="264"/>
      <c r="Z130" s="264">
        <f t="shared" ref="Z130" si="73">Z93-Z92</f>
        <v>0</v>
      </c>
    </row>
    <row r="131" spans="3:26">
      <c r="C131" s="11" t="s">
        <v>652</v>
      </c>
      <c r="E131" s="264">
        <f t="shared" ref="E131:X131" si="74">E94-E93</f>
        <v>0</v>
      </c>
      <c r="F131" s="264">
        <f t="shared" si="74"/>
        <v>0</v>
      </c>
      <c r="G131" s="264">
        <f t="shared" si="74"/>
        <v>0</v>
      </c>
      <c r="H131" s="264">
        <f t="shared" si="74"/>
        <v>0</v>
      </c>
      <c r="I131" s="264">
        <f t="shared" si="74"/>
        <v>0</v>
      </c>
      <c r="J131" s="264">
        <f t="shared" si="74"/>
        <v>0</v>
      </c>
      <c r="K131" s="264">
        <f t="shared" si="74"/>
        <v>0</v>
      </c>
      <c r="L131" s="264">
        <f t="shared" si="74"/>
        <v>0</v>
      </c>
      <c r="M131" s="264">
        <f t="shared" si="74"/>
        <v>0</v>
      </c>
      <c r="N131" s="264">
        <f t="shared" si="74"/>
        <v>0</v>
      </c>
      <c r="O131" s="264">
        <f t="shared" si="74"/>
        <v>0</v>
      </c>
      <c r="P131" s="264">
        <f t="shared" si="74"/>
        <v>0</v>
      </c>
      <c r="Q131" s="264">
        <f t="shared" si="74"/>
        <v>0</v>
      </c>
      <c r="R131" s="264">
        <f t="shared" si="74"/>
        <v>0</v>
      </c>
      <c r="S131" s="264">
        <f t="shared" si="74"/>
        <v>0</v>
      </c>
      <c r="T131" s="264">
        <f t="shared" si="74"/>
        <v>0</v>
      </c>
      <c r="U131" s="264">
        <f t="shared" si="74"/>
        <v>0</v>
      </c>
      <c r="V131" s="264">
        <f t="shared" si="74"/>
        <v>0</v>
      </c>
      <c r="W131" s="264">
        <f t="shared" si="74"/>
        <v>0</v>
      </c>
      <c r="X131" s="264">
        <f t="shared" si="74"/>
        <v>0</v>
      </c>
      <c r="Y131" s="264"/>
      <c r="Z131" s="264">
        <f t="shared" ref="Z131" si="75">Z94-Z93</f>
        <v>0</v>
      </c>
    </row>
    <row r="132" spans="3:26">
      <c r="C132" s="11" t="s">
        <v>653</v>
      </c>
      <c r="E132" s="264">
        <f t="shared" ref="E132:X132" si="76">E95-E94</f>
        <v>0</v>
      </c>
      <c r="F132" s="264">
        <f t="shared" si="76"/>
        <v>0</v>
      </c>
      <c r="G132" s="264">
        <f t="shared" si="76"/>
        <v>0</v>
      </c>
      <c r="H132" s="264">
        <f t="shared" si="76"/>
        <v>0</v>
      </c>
      <c r="I132" s="264">
        <f t="shared" si="76"/>
        <v>0</v>
      </c>
      <c r="J132" s="264">
        <f t="shared" si="76"/>
        <v>0</v>
      </c>
      <c r="K132" s="264">
        <f t="shared" si="76"/>
        <v>0</v>
      </c>
      <c r="L132" s="264">
        <f t="shared" si="76"/>
        <v>0</v>
      </c>
      <c r="M132" s="264">
        <f t="shared" si="76"/>
        <v>0</v>
      </c>
      <c r="N132" s="264">
        <f t="shared" si="76"/>
        <v>0</v>
      </c>
      <c r="O132" s="264">
        <f t="shared" si="76"/>
        <v>0</v>
      </c>
      <c r="P132" s="264">
        <f t="shared" si="76"/>
        <v>0</v>
      </c>
      <c r="Q132" s="264">
        <f t="shared" si="76"/>
        <v>0</v>
      </c>
      <c r="R132" s="264">
        <f t="shared" si="76"/>
        <v>0</v>
      </c>
      <c r="S132" s="264">
        <f t="shared" si="76"/>
        <v>0</v>
      </c>
      <c r="T132" s="264">
        <f t="shared" si="76"/>
        <v>0</v>
      </c>
      <c r="U132" s="264">
        <f t="shared" si="76"/>
        <v>0</v>
      </c>
      <c r="V132" s="264">
        <f t="shared" si="76"/>
        <v>0</v>
      </c>
      <c r="W132" s="264">
        <f t="shared" si="76"/>
        <v>0</v>
      </c>
      <c r="X132" s="264">
        <f t="shared" si="76"/>
        <v>0</v>
      </c>
      <c r="Y132" s="264"/>
      <c r="Z132" s="264">
        <f t="shared" ref="Z132" si="77">Z95-Z94</f>
        <v>0</v>
      </c>
    </row>
    <row r="133" spans="3:26">
      <c r="C133" s="11" t="s">
        <v>654</v>
      </c>
      <c r="E133" s="264">
        <f t="shared" ref="E133:X133" si="78">E96-E95</f>
        <v>0</v>
      </c>
      <c r="F133" s="264">
        <f t="shared" si="78"/>
        <v>0</v>
      </c>
      <c r="G133" s="264">
        <f t="shared" si="78"/>
        <v>0</v>
      </c>
      <c r="H133" s="264">
        <f t="shared" si="78"/>
        <v>0</v>
      </c>
      <c r="I133" s="264">
        <f t="shared" si="78"/>
        <v>0</v>
      </c>
      <c r="J133" s="264">
        <f t="shared" si="78"/>
        <v>0</v>
      </c>
      <c r="K133" s="264">
        <f t="shared" si="78"/>
        <v>0</v>
      </c>
      <c r="L133" s="264">
        <f t="shared" si="78"/>
        <v>0</v>
      </c>
      <c r="M133" s="264">
        <f t="shared" si="78"/>
        <v>0</v>
      </c>
      <c r="N133" s="264">
        <f t="shared" si="78"/>
        <v>0</v>
      </c>
      <c r="O133" s="264">
        <f t="shared" si="78"/>
        <v>0</v>
      </c>
      <c r="P133" s="264">
        <f t="shared" si="78"/>
        <v>0</v>
      </c>
      <c r="Q133" s="264">
        <f t="shared" si="78"/>
        <v>0</v>
      </c>
      <c r="R133" s="264">
        <f t="shared" si="78"/>
        <v>0</v>
      </c>
      <c r="S133" s="264">
        <f t="shared" si="78"/>
        <v>0</v>
      </c>
      <c r="T133" s="264">
        <f t="shared" si="78"/>
        <v>0</v>
      </c>
      <c r="U133" s="264">
        <f t="shared" si="78"/>
        <v>0</v>
      </c>
      <c r="V133" s="264">
        <f t="shared" si="78"/>
        <v>0</v>
      </c>
      <c r="W133" s="264">
        <f t="shared" si="78"/>
        <v>0</v>
      </c>
      <c r="X133" s="264">
        <f t="shared" si="78"/>
        <v>0</v>
      </c>
      <c r="Y133" s="264"/>
      <c r="Z133" s="264">
        <f t="shared" ref="Z133" si="79">Z96-Z95</f>
        <v>0</v>
      </c>
    </row>
    <row r="134" spans="3:26">
      <c r="C134" s="11" t="s">
        <v>655</v>
      </c>
      <c r="E134" s="264">
        <f t="shared" ref="E134:X134" si="80">E97-E96</f>
        <v>0</v>
      </c>
      <c r="F134" s="264">
        <f t="shared" si="80"/>
        <v>0</v>
      </c>
      <c r="G134" s="264">
        <f t="shared" si="80"/>
        <v>0</v>
      </c>
      <c r="H134" s="264">
        <f t="shared" si="80"/>
        <v>0</v>
      </c>
      <c r="I134" s="264">
        <f t="shared" si="80"/>
        <v>0</v>
      </c>
      <c r="J134" s="264">
        <f t="shared" si="80"/>
        <v>0</v>
      </c>
      <c r="K134" s="264">
        <f t="shared" si="80"/>
        <v>0</v>
      </c>
      <c r="L134" s="264">
        <f t="shared" si="80"/>
        <v>0</v>
      </c>
      <c r="M134" s="264">
        <f t="shared" si="80"/>
        <v>0</v>
      </c>
      <c r="N134" s="264">
        <f t="shared" si="80"/>
        <v>0</v>
      </c>
      <c r="O134" s="264">
        <f t="shared" si="80"/>
        <v>0</v>
      </c>
      <c r="P134" s="264">
        <f t="shared" si="80"/>
        <v>0</v>
      </c>
      <c r="Q134" s="264">
        <f t="shared" si="80"/>
        <v>0</v>
      </c>
      <c r="R134" s="264">
        <f t="shared" si="80"/>
        <v>0</v>
      </c>
      <c r="S134" s="264">
        <f t="shared" si="80"/>
        <v>0</v>
      </c>
      <c r="T134" s="264">
        <f t="shared" si="80"/>
        <v>0</v>
      </c>
      <c r="U134" s="264">
        <f t="shared" si="80"/>
        <v>0</v>
      </c>
      <c r="V134" s="264">
        <f t="shared" si="80"/>
        <v>0</v>
      </c>
      <c r="W134" s="264">
        <f t="shared" si="80"/>
        <v>0</v>
      </c>
      <c r="X134" s="264">
        <f t="shared" si="80"/>
        <v>0</v>
      </c>
      <c r="Y134" s="264"/>
      <c r="Z134" s="264">
        <f t="shared" ref="Z134" si="81">Z97-Z96</f>
        <v>0</v>
      </c>
    </row>
    <row r="135" spans="3:26">
      <c r="C135" s="11" t="s">
        <v>656</v>
      </c>
      <c r="E135" s="264">
        <f t="shared" ref="E135:X135" si="82">E98-E97</f>
        <v>0</v>
      </c>
      <c r="F135" s="264">
        <f t="shared" si="82"/>
        <v>0</v>
      </c>
      <c r="G135" s="264">
        <f t="shared" si="82"/>
        <v>0</v>
      </c>
      <c r="H135" s="264">
        <f t="shared" si="82"/>
        <v>0</v>
      </c>
      <c r="I135" s="264">
        <f t="shared" si="82"/>
        <v>0</v>
      </c>
      <c r="J135" s="264">
        <f t="shared" si="82"/>
        <v>0</v>
      </c>
      <c r="K135" s="264">
        <f t="shared" si="82"/>
        <v>0</v>
      </c>
      <c r="L135" s="264">
        <f t="shared" si="82"/>
        <v>0</v>
      </c>
      <c r="M135" s="264">
        <f t="shared" si="82"/>
        <v>0</v>
      </c>
      <c r="N135" s="264">
        <f t="shared" si="82"/>
        <v>0</v>
      </c>
      <c r="O135" s="264">
        <f t="shared" si="82"/>
        <v>0</v>
      </c>
      <c r="P135" s="264">
        <f t="shared" si="82"/>
        <v>0</v>
      </c>
      <c r="Q135" s="264">
        <f t="shared" si="82"/>
        <v>0</v>
      </c>
      <c r="R135" s="264">
        <f t="shared" si="82"/>
        <v>0</v>
      </c>
      <c r="S135" s="264">
        <f t="shared" si="82"/>
        <v>0</v>
      </c>
      <c r="T135" s="264">
        <f t="shared" si="82"/>
        <v>0</v>
      </c>
      <c r="U135" s="264">
        <f t="shared" si="82"/>
        <v>0</v>
      </c>
      <c r="V135" s="264">
        <f t="shared" si="82"/>
        <v>0</v>
      </c>
      <c r="W135" s="264">
        <f t="shared" si="82"/>
        <v>0</v>
      </c>
      <c r="X135" s="264">
        <f t="shared" si="82"/>
        <v>0</v>
      </c>
      <c r="Y135" s="264"/>
      <c r="Z135" s="264">
        <f t="shared" ref="Z135" si="83">Z98-Z97</f>
        <v>0</v>
      </c>
    </row>
    <row r="136" spans="3:26">
      <c r="C136" s="11" t="s">
        <v>657</v>
      </c>
      <c r="E136" s="264">
        <f t="shared" ref="E136:X136" si="84">E99-E98</f>
        <v>0</v>
      </c>
      <c r="F136" s="264">
        <f t="shared" si="84"/>
        <v>0</v>
      </c>
      <c r="G136" s="264">
        <f t="shared" si="84"/>
        <v>0</v>
      </c>
      <c r="H136" s="264">
        <f t="shared" si="84"/>
        <v>0</v>
      </c>
      <c r="I136" s="264">
        <f t="shared" si="84"/>
        <v>0</v>
      </c>
      <c r="J136" s="264">
        <f t="shared" si="84"/>
        <v>0</v>
      </c>
      <c r="K136" s="264">
        <f t="shared" si="84"/>
        <v>0</v>
      </c>
      <c r="L136" s="264">
        <f t="shared" si="84"/>
        <v>0</v>
      </c>
      <c r="M136" s="264">
        <f t="shared" si="84"/>
        <v>0</v>
      </c>
      <c r="N136" s="264">
        <f t="shared" si="84"/>
        <v>0</v>
      </c>
      <c r="O136" s="264">
        <f t="shared" si="84"/>
        <v>0</v>
      </c>
      <c r="P136" s="264">
        <f t="shared" si="84"/>
        <v>0</v>
      </c>
      <c r="Q136" s="264">
        <f t="shared" si="84"/>
        <v>0</v>
      </c>
      <c r="R136" s="264">
        <f t="shared" si="84"/>
        <v>0</v>
      </c>
      <c r="S136" s="264">
        <f t="shared" si="84"/>
        <v>0</v>
      </c>
      <c r="T136" s="264">
        <f t="shared" si="84"/>
        <v>0</v>
      </c>
      <c r="U136" s="264">
        <f t="shared" si="84"/>
        <v>0</v>
      </c>
      <c r="V136" s="264">
        <f t="shared" si="84"/>
        <v>0</v>
      </c>
      <c r="W136" s="264">
        <f t="shared" si="84"/>
        <v>0</v>
      </c>
      <c r="X136" s="264">
        <f t="shared" si="84"/>
        <v>0</v>
      </c>
      <c r="Y136" s="264"/>
      <c r="Z136" s="264">
        <f t="shared" ref="Z136" si="85">Z99-Z98</f>
        <v>0</v>
      </c>
    </row>
    <row r="137" spans="3:26">
      <c r="C137" s="11" t="s">
        <v>658</v>
      </c>
      <c r="E137" s="264">
        <f t="shared" ref="E137:X137" si="86">E100-E99</f>
        <v>0</v>
      </c>
      <c r="F137" s="264">
        <f t="shared" si="86"/>
        <v>0</v>
      </c>
      <c r="G137" s="264">
        <f t="shared" si="86"/>
        <v>0</v>
      </c>
      <c r="H137" s="264">
        <f t="shared" si="86"/>
        <v>0</v>
      </c>
      <c r="I137" s="264">
        <f t="shared" si="86"/>
        <v>0</v>
      </c>
      <c r="J137" s="264">
        <f t="shared" si="86"/>
        <v>0</v>
      </c>
      <c r="K137" s="264">
        <f t="shared" si="86"/>
        <v>0</v>
      </c>
      <c r="L137" s="264">
        <f t="shared" si="86"/>
        <v>0</v>
      </c>
      <c r="M137" s="264">
        <f t="shared" si="86"/>
        <v>0</v>
      </c>
      <c r="N137" s="264">
        <f t="shared" si="86"/>
        <v>0</v>
      </c>
      <c r="O137" s="264">
        <f t="shared" si="86"/>
        <v>0</v>
      </c>
      <c r="P137" s="264">
        <f t="shared" si="86"/>
        <v>0</v>
      </c>
      <c r="Q137" s="264">
        <f t="shared" si="86"/>
        <v>0</v>
      </c>
      <c r="R137" s="264">
        <f t="shared" si="86"/>
        <v>0</v>
      </c>
      <c r="S137" s="264">
        <f t="shared" si="86"/>
        <v>0</v>
      </c>
      <c r="T137" s="264">
        <f t="shared" si="86"/>
        <v>0</v>
      </c>
      <c r="U137" s="264">
        <f t="shared" si="86"/>
        <v>0</v>
      </c>
      <c r="V137" s="264">
        <f t="shared" si="86"/>
        <v>0</v>
      </c>
      <c r="W137" s="264">
        <f t="shared" si="86"/>
        <v>0</v>
      </c>
      <c r="X137" s="264">
        <f t="shared" si="86"/>
        <v>0</v>
      </c>
      <c r="Y137" s="264"/>
      <c r="Z137" s="264">
        <f t="shared" ref="Z137" si="87">Z100-Z99</f>
        <v>0</v>
      </c>
    </row>
    <row r="138" spans="3:26">
      <c r="C138" s="11" t="s">
        <v>659</v>
      </c>
      <c r="E138" s="264">
        <f t="shared" ref="E138:X138" si="88">E101-E100</f>
        <v>0</v>
      </c>
      <c r="F138" s="264">
        <f t="shared" si="88"/>
        <v>0</v>
      </c>
      <c r="G138" s="264">
        <f t="shared" si="88"/>
        <v>0</v>
      </c>
      <c r="H138" s="264">
        <f t="shared" si="88"/>
        <v>0</v>
      </c>
      <c r="I138" s="264">
        <f t="shared" si="88"/>
        <v>0</v>
      </c>
      <c r="J138" s="264">
        <f t="shared" si="88"/>
        <v>0</v>
      </c>
      <c r="K138" s="264">
        <f t="shared" si="88"/>
        <v>0</v>
      </c>
      <c r="L138" s="264">
        <f t="shared" si="88"/>
        <v>0</v>
      </c>
      <c r="M138" s="264">
        <f t="shared" si="88"/>
        <v>0</v>
      </c>
      <c r="N138" s="264">
        <f t="shared" si="88"/>
        <v>0</v>
      </c>
      <c r="O138" s="264">
        <f t="shared" si="88"/>
        <v>0</v>
      </c>
      <c r="P138" s="264">
        <f t="shared" si="88"/>
        <v>0</v>
      </c>
      <c r="Q138" s="264">
        <f t="shared" si="88"/>
        <v>0</v>
      </c>
      <c r="R138" s="264">
        <f t="shared" si="88"/>
        <v>0</v>
      </c>
      <c r="S138" s="264">
        <f t="shared" si="88"/>
        <v>0</v>
      </c>
      <c r="T138" s="264">
        <f t="shared" si="88"/>
        <v>0</v>
      </c>
      <c r="U138" s="264">
        <f t="shared" si="88"/>
        <v>0</v>
      </c>
      <c r="V138" s="264">
        <f t="shared" si="88"/>
        <v>0</v>
      </c>
      <c r="W138" s="264">
        <f t="shared" si="88"/>
        <v>0</v>
      </c>
      <c r="X138" s="264">
        <f t="shared" si="88"/>
        <v>0</v>
      </c>
      <c r="Y138" s="264"/>
      <c r="Z138" s="264">
        <f t="shared" ref="Z138" si="89">Z101-Z100</f>
        <v>0</v>
      </c>
    </row>
    <row r="139" spans="3:26">
      <c r="C139" s="11" t="s">
        <v>660</v>
      </c>
      <c r="E139" s="264">
        <f t="shared" ref="E139:X139" si="90">E102-E101</f>
        <v>0</v>
      </c>
      <c r="F139" s="264">
        <f t="shared" si="90"/>
        <v>0</v>
      </c>
      <c r="G139" s="264">
        <f t="shared" si="90"/>
        <v>0</v>
      </c>
      <c r="H139" s="264">
        <f t="shared" si="90"/>
        <v>0</v>
      </c>
      <c r="I139" s="264">
        <f t="shared" si="90"/>
        <v>0</v>
      </c>
      <c r="J139" s="264">
        <f t="shared" si="90"/>
        <v>0</v>
      </c>
      <c r="K139" s="264">
        <f t="shared" si="90"/>
        <v>0</v>
      </c>
      <c r="L139" s="264">
        <f t="shared" si="90"/>
        <v>0</v>
      </c>
      <c r="M139" s="264">
        <f t="shared" si="90"/>
        <v>0</v>
      </c>
      <c r="N139" s="264">
        <f t="shared" si="90"/>
        <v>0</v>
      </c>
      <c r="O139" s="264">
        <f t="shared" si="90"/>
        <v>0</v>
      </c>
      <c r="P139" s="264">
        <f t="shared" si="90"/>
        <v>0</v>
      </c>
      <c r="Q139" s="264">
        <f t="shared" si="90"/>
        <v>0</v>
      </c>
      <c r="R139" s="264">
        <f t="shared" si="90"/>
        <v>0</v>
      </c>
      <c r="S139" s="264">
        <f t="shared" si="90"/>
        <v>0</v>
      </c>
      <c r="T139" s="264">
        <f t="shared" si="90"/>
        <v>0</v>
      </c>
      <c r="U139" s="264">
        <f t="shared" si="90"/>
        <v>0</v>
      </c>
      <c r="V139" s="264">
        <f t="shared" si="90"/>
        <v>0</v>
      </c>
      <c r="W139" s="264">
        <f t="shared" si="90"/>
        <v>0</v>
      </c>
      <c r="X139" s="264">
        <f t="shared" si="90"/>
        <v>0</v>
      </c>
      <c r="Y139" s="264"/>
      <c r="Z139" s="264">
        <f t="shared" ref="Z139" si="91">Z102-Z101</f>
        <v>0</v>
      </c>
    </row>
    <row r="140" spans="3:26">
      <c r="C140" s="11" t="s">
        <v>762</v>
      </c>
      <c r="E140" s="264">
        <f t="shared" ref="E140:X140" si="92">E103-E102</f>
        <v>0</v>
      </c>
      <c r="F140" s="264">
        <f t="shared" si="92"/>
        <v>0</v>
      </c>
      <c r="G140" s="264">
        <f t="shared" si="92"/>
        <v>0</v>
      </c>
      <c r="H140" s="264">
        <f t="shared" si="92"/>
        <v>0</v>
      </c>
      <c r="I140" s="264">
        <f t="shared" si="92"/>
        <v>0</v>
      </c>
      <c r="J140" s="264">
        <f t="shared" si="92"/>
        <v>0</v>
      </c>
      <c r="K140" s="264">
        <f t="shared" si="92"/>
        <v>0</v>
      </c>
      <c r="L140" s="264">
        <f t="shared" si="92"/>
        <v>0</v>
      </c>
      <c r="M140" s="264">
        <f t="shared" si="92"/>
        <v>0</v>
      </c>
      <c r="N140" s="264">
        <f t="shared" si="92"/>
        <v>0</v>
      </c>
      <c r="O140" s="264">
        <f t="shared" si="92"/>
        <v>0</v>
      </c>
      <c r="P140" s="264">
        <f t="shared" si="92"/>
        <v>0</v>
      </c>
      <c r="Q140" s="264">
        <f t="shared" si="92"/>
        <v>0</v>
      </c>
      <c r="R140" s="264">
        <f t="shared" si="92"/>
        <v>0</v>
      </c>
      <c r="S140" s="264">
        <f t="shared" si="92"/>
        <v>0</v>
      </c>
      <c r="T140" s="264">
        <f t="shared" si="92"/>
        <v>0</v>
      </c>
      <c r="U140" s="264">
        <f t="shared" si="92"/>
        <v>0</v>
      </c>
      <c r="V140" s="264">
        <f t="shared" si="92"/>
        <v>0</v>
      </c>
      <c r="W140" s="264">
        <f t="shared" si="92"/>
        <v>0</v>
      </c>
      <c r="X140" s="264">
        <f t="shared" si="92"/>
        <v>0</v>
      </c>
      <c r="Y140" s="264"/>
      <c r="Z140" s="264">
        <f t="shared" ref="Z140" si="93">Z103-Z102</f>
        <v>0</v>
      </c>
    </row>
    <row r="141" spans="3:26">
      <c r="C141" s="11" t="s">
        <v>763</v>
      </c>
      <c r="E141" s="264">
        <f t="shared" ref="E141:X141" si="94">E104-E103</f>
        <v>0</v>
      </c>
      <c r="F141" s="264">
        <f t="shared" si="94"/>
        <v>0</v>
      </c>
      <c r="G141" s="264">
        <f t="shared" si="94"/>
        <v>0</v>
      </c>
      <c r="H141" s="264">
        <f t="shared" si="94"/>
        <v>0</v>
      </c>
      <c r="I141" s="264">
        <f t="shared" si="94"/>
        <v>0</v>
      </c>
      <c r="J141" s="264">
        <f t="shared" si="94"/>
        <v>0</v>
      </c>
      <c r="K141" s="264">
        <f t="shared" si="94"/>
        <v>0</v>
      </c>
      <c r="L141" s="264">
        <f t="shared" si="94"/>
        <v>0</v>
      </c>
      <c r="M141" s="264">
        <f t="shared" si="94"/>
        <v>0</v>
      </c>
      <c r="N141" s="264">
        <f t="shared" si="94"/>
        <v>0</v>
      </c>
      <c r="O141" s="264">
        <f t="shared" si="94"/>
        <v>0</v>
      </c>
      <c r="P141" s="264">
        <f t="shared" si="94"/>
        <v>0</v>
      </c>
      <c r="Q141" s="264">
        <f t="shared" si="94"/>
        <v>0</v>
      </c>
      <c r="R141" s="264">
        <f t="shared" si="94"/>
        <v>0</v>
      </c>
      <c r="S141" s="264">
        <f t="shared" si="94"/>
        <v>0</v>
      </c>
      <c r="T141" s="264">
        <f t="shared" si="94"/>
        <v>0</v>
      </c>
      <c r="U141" s="264">
        <f t="shared" si="94"/>
        <v>0</v>
      </c>
      <c r="V141" s="264">
        <f t="shared" si="94"/>
        <v>0</v>
      </c>
      <c r="W141" s="264">
        <f t="shared" si="94"/>
        <v>0</v>
      </c>
      <c r="X141" s="264">
        <f t="shared" si="94"/>
        <v>0</v>
      </c>
      <c r="Y141" s="264"/>
      <c r="Z141" s="264">
        <f t="shared" ref="Z141" si="95">Z104-Z103</f>
        <v>0</v>
      </c>
    </row>
    <row r="142" spans="3:26">
      <c r="C142" s="11" t="s">
        <v>764</v>
      </c>
      <c r="E142" s="264">
        <f t="shared" ref="E142:X142" si="96">E105-E104</f>
        <v>0</v>
      </c>
      <c r="F142" s="264">
        <f t="shared" si="96"/>
        <v>0</v>
      </c>
      <c r="G142" s="264">
        <f t="shared" si="96"/>
        <v>0</v>
      </c>
      <c r="H142" s="264">
        <f t="shared" si="96"/>
        <v>0</v>
      </c>
      <c r="I142" s="264">
        <f t="shared" si="96"/>
        <v>0</v>
      </c>
      <c r="J142" s="264">
        <f t="shared" si="96"/>
        <v>0</v>
      </c>
      <c r="K142" s="264">
        <f t="shared" si="96"/>
        <v>0</v>
      </c>
      <c r="L142" s="264">
        <f t="shared" si="96"/>
        <v>0</v>
      </c>
      <c r="M142" s="264">
        <f t="shared" si="96"/>
        <v>0</v>
      </c>
      <c r="N142" s="264">
        <f t="shared" si="96"/>
        <v>0</v>
      </c>
      <c r="O142" s="264">
        <f t="shared" si="96"/>
        <v>0</v>
      </c>
      <c r="P142" s="264">
        <f t="shared" si="96"/>
        <v>0</v>
      </c>
      <c r="Q142" s="264">
        <f t="shared" si="96"/>
        <v>0</v>
      </c>
      <c r="R142" s="264">
        <f t="shared" si="96"/>
        <v>0</v>
      </c>
      <c r="S142" s="264">
        <f t="shared" si="96"/>
        <v>0</v>
      </c>
      <c r="T142" s="264">
        <f t="shared" si="96"/>
        <v>0</v>
      </c>
      <c r="U142" s="264">
        <f t="shared" si="96"/>
        <v>0</v>
      </c>
      <c r="V142" s="264">
        <f t="shared" si="96"/>
        <v>0</v>
      </c>
      <c r="W142" s="264">
        <f t="shared" si="96"/>
        <v>0</v>
      </c>
      <c r="X142" s="264">
        <f t="shared" si="96"/>
        <v>0</v>
      </c>
      <c r="Y142" s="264"/>
      <c r="Z142" s="264">
        <f t="shared" ref="Z142" si="97">Z105-Z104</f>
        <v>0</v>
      </c>
    </row>
    <row r="143" spans="3:26">
      <c r="C143" s="11" t="s">
        <v>765</v>
      </c>
      <c r="E143" s="264">
        <f t="shared" ref="E143:X143" si="98">E106-E105</f>
        <v>0</v>
      </c>
      <c r="F143" s="264">
        <f t="shared" si="98"/>
        <v>0</v>
      </c>
      <c r="G143" s="264">
        <f t="shared" si="98"/>
        <v>0</v>
      </c>
      <c r="H143" s="264">
        <f t="shared" si="98"/>
        <v>0</v>
      </c>
      <c r="I143" s="264">
        <f t="shared" si="98"/>
        <v>0</v>
      </c>
      <c r="J143" s="264">
        <f t="shared" si="98"/>
        <v>0</v>
      </c>
      <c r="K143" s="264">
        <f t="shared" si="98"/>
        <v>0</v>
      </c>
      <c r="L143" s="264">
        <f t="shared" si="98"/>
        <v>0</v>
      </c>
      <c r="M143" s="264">
        <f t="shared" si="98"/>
        <v>0</v>
      </c>
      <c r="N143" s="264">
        <f t="shared" si="98"/>
        <v>0</v>
      </c>
      <c r="O143" s="264">
        <f t="shared" si="98"/>
        <v>0</v>
      </c>
      <c r="P143" s="264">
        <f t="shared" si="98"/>
        <v>0</v>
      </c>
      <c r="Q143" s="264">
        <f t="shared" si="98"/>
        <v>0</v>
      </c>
      <c r="R143" s="264">
        <f t="shared" si="98"/>
        <v>0</v>
      </c>
      <c r="S143" s="264">
        <f t="shared" si="98"/>
        <v>0</v>
      </c>
      <c r="T143" s="264">
        <f t="shared" si="98"/>
        <v>0</v>
      </c>
      <c r="U143" s="264">
        <f t="shared" si="98"/>
        <v>0</v>
      </c>
      <c r="V143" s="264">
        <f t="shared" si="98"/>
        <v>0</v>
      </c>
      <c r="W143" s="264">
        <f t="shared" si="98"/>
        <v>0</v>
      </c>
      <c r="X143" s="264">
        <f t="shared" si="98"/>
        <v>0</v>
      </c>
      <c r="Y143" s="264"/>
      <c r="Z143" s="264">
        <f t="shared" ref="Z143" si="99">Z106-Z105</f>
        <v>0</v>
      </c>
    </row>
    <row r="144" spans="3:26">
      <c r="C144" s="11" t="s">
        <v>766</v>
      </c>
      <c r="E144" s="264">
        <f t="shared" ref="E144:X144" si="100">E107-E106</f>
        <v>0</v>
      </c>
      <c r="F144" s="264">
        <f t="shared" si="100"/>
        <v>0</v>
      </c>
      <c r="G144" s="264">
        <f t="shared" si="100"/>
        <v>0</v>
      </c>
      <c r="H144" s="264">
        <f t="shared" si="100"/>
        <v>0</v>
      </c>
      <c r="I144" s="264">
        <f t="shared" si="100"/>
        <v>0</v>
      </c>
      <c r="J144" s="264">
        <f t="shared" si="100"/>
        <v>0</v>
      </c>
      <c r="K144" s="264">
        <f t="shared" si="100"/>
        <v>0</v>
      </c>
      <c r="L144" s="264">
        <f t="shared" si="100"/>
        <v>0</v>
      </c>
      <c r="M144" s="264">
        <f t="shared" si="100"/>
        <v>0</v>
      </c>
      <c r="N144" s="264">
        <f t="shared" si="100"/>
        <v>0</v>
      </c>
      <c r="O144" s="264">
        <f t="shared" si="100"/>
        <v>0</v>
      </c>
      <c r="P144" s="264">
        <f t="shared" si="100"/>
        <v>0</v>
      </c>
      <c r="Q144" s="264">
        <f t="shared" si="100"/>
        <v>0</v>
      </c>
      <c r="R144" s="264">
        <f t="shared" si="100"/>
        <v>0</v>
      </c>
      <c r="S144" s="264">
        <f t="shared" si="100"/>
        <v>0</v>
      </c>
      <c r="T144" s="264">
        <f t="shared" si="100"/>
        <v>0</v>
      </c>
      <c r="U144" s="264">
        <f t="shared" si="100"/>
        <v>0</v>
      </c>
      <c r="V144" s="264">
        <f t="shared" si="100"/>
        <v>0</v>
      </c>
      <c r="W144" s="264">
        <f t="shared" si="100"/>
        <v>0</v>
      </c>
      <c r="X144" s="264">
        <f t="shared" si="100"/>
        <v>0</v>
      </c>
      <c r="Y144" s="264"/>
      <c r="Z144" s="264">
        <f t="shared" ref="Z144" si="101">Z107-Z106</f>
        <v>0</v>
      </c>
    </row>
    <row r="145" spans="3:26">
      <c r="C145" s="11" t="s">
        <v>767</v>
      </c>
      <c r="E145" s="264">
        <f t="shared" ref="E145:X145" si="102">E108-E107</f>
        <v>0</v>
      </c>
      <c r="F145" s="264">
        <f t="shared" si="102"/>
        <v>0</v>
      </c>
      <c r="G145" s="264">
        <f t="shared" si="102"/>
        <v>0</v>
      </c>
      <c r="H145" s="264">
        <f t="shared" si="102"/>
        <v>0</v>
      </c>
      <c r="I145" s="264">
        <f t="shared" si="102"/>
        <v>0</v>
      </c>
      <c r="J145" s="264">
        <f t="shared" si="102"/>
        <v>0</v>
      </c>
      <c r="K145" s="264">
        <f t="shared" si="102"/>
        <v>0</v>
      </c>
      <c r="L145" s="264">
        <f t="shared" si="102"/>
        <v>0</v>
      </c>
      <c r="M145" s="264">
        <f t="shared" si="102"/>
        <v>0</v>
      </c>
      <c r="N145" s="264">
        <f t="shared" si="102"/>
        <v>0</v>
      </c>
      <c r="O145" s="264">
        <f t="shared" si="102"/>
        <v>0</v>
      </c>
      <c r="P145" s="264">
        <f t="shared" si="102"/>
        <v>0</v>
      </c>
      <c r="Q145" s="264">
        <f t="shared" si="102"/>
        <v>0</v>
      </c>
      <c r="R145" s="264">
        <f t="shared" si="102"/>
        <v>0</v>
      </c>
      <c r="S145" s="264">
        <f t="shared" si="102"/>
        <v>0</v>
      </c>
      <c r="T145" s="264">
        <f t="shared" si="102"/>
        <v>0</v>
      </c>
      <c r="U145" s="264">
        <f t="shared" si="102"/>
        <v>0</v>
      </c>
      <c r="V145" s="264">
        <f t="shared" si="102"/>
        <v>0</v>
      </c>
      <c r="W145" s="264">
        <f t="shared" si="102"/>
        <v>0</v>
      </c>
      <c r="X145" s="264">
        <f t="shared" si="102"/>
        <v>0</v>
      </c>
      <c r="Y145" s="264"/>
      <c r="Z145" s="264">
        <f t="shared" ref="Z145" si="103">Z108-Z107</f>
        <v>0</v>
      </c>
    </row>
    <row r="146" spans="3:26">
      <c r="C146" s="11" t="s">
        <v>768</v>
      </c>
      <c r="E146" s="264">
        <f t="shared" ref="E146:X146" si="104">E109-E108</f>
        <v>0</v>
      </c>
      <c r="F146" s="264">
        <f t="shared" si="104"/>
        <v>0</v>
      </c>
      <c r="G146" s="264">
        <f t="shared" si="104"/>
        <v>0</v>
      </c>
      <c r="H146" s="264">
        <f t="shared" si="104"/>
        <v>0</v>
      </c>
      <c r="I146" s="264">
        <f t="shared" si="104"/>
        <v>0</v>
      </c>
      <c r="J146" s="264">
        <f t="shared" si="104"/>
        <v>0</v>
      </c>
      <c r="K146" s="264">
        <f t="shared" si="104"/>
        <v>0</v>
      </c>
      <c r="L146" s="264">
        <f t="shared" si="104"/>
        <v>0</v>
      </c>
      <c r="M146" s="264">
        <f t="shared" si="104"/>
        <v>0</v>
      </c>
      <c r="N146" s="264">
        <f t="shared" si="104"/>
        <v>0</v>
      </c>
      <c r="O146" s="264">
        <f t="shared" si="104"/>
        <v>0</v>
      </c>
      <c r="P146" s="264">
        <f t="shared" si="104"/>
        <v>0</v>
      </c>
      <c r="Q146" s="264">
        <f t="shared" si="104"/>
        <v>0</v>
      </c>
      <c r="R146" s="264">
        <f t="shared" si="104"/>
        <v>0</v>
      </c>
      <c r="S146" s="264">
        <f t="shared" si="104"/>
        <v>0</v>
      </c>
      <c r="T146" s="264">
        <f t="shared" si="104"/>
        <v>0</v>
      </c>
      <c r="U146" s="264">
        <f t="shared" si="104"/>
        <v>0</v>
      </c>
      <c r="V146" s="264">
        <f t="shared" si="104"/>
        <v>0</v>
      </c>
      <c r="W146" s="264">
        <f t="shared" si="104"/>
        <v>0</v>
      </c>
      <c r="X146" s="264">
        <f t="shared" si="104"/>
        <v>0</v>
      </c>
      <c r="Y146" s="264"/>
      <c r="Z146" s="264">
        <f t="shared" ref="Z146" si="105">Z109-Z108</f>
        <v>0</v>
      </c>
    </row>
    <row r="147" spans="3:26">
      <c r="C147" s="11" t="s">
        <v>769</v>
      </c>
      <c r="E147" s="264">
        <f t="shared" ref="E147:X147" si="106">E110-E109</f>
        <v>0</v>
      </c>
      <c r="F147" s="264">
        <f t="shared" si="106"/>
        <v>0</v>
      </c>
      <c r="G147" s="264">
        <f t="shared" si="106"/>
        <v>0</v>
      </c>
      <c r="H147" s="264">
        <f t="shared" si="106"/>
        <v>0</v>
      </c>
      <c r="I147" s="264">
        <f t="shared" si="106"/>
        <v>0</v>
      </c>
      <c r="J147" s="264">
        <f t="shared" si="106"/>
        <v>0</v>
      </c>
      <c r="K147" s="264">
        <f t="shared" si="106"/>
        <v>0</v>
      </c>
      <c r="L147" s="264">
        <f t="shared" si="106"/>
        <v>0</v>
      </c>
      <c r="M147" s="264">
        <f t="shared" si="106"/>
        <v>0</v>
      </c>
      <c r="N147" s="264">
        <f t="shared" si="106"/>
        <v>0</v>
      </c>
      <c r="O147" s="264">
        <f t="shared" si="106"/>
        <v>0</v>
      </c>
      <c r="P147" s="264">
        <f t="shared" si="106"/>
        <v>0</v>
      </c>
      <c r="Q147" s="264">
        <f t="shared" si="106"/>
        <v>0</v>
      </c>
      <c r="R147" s="264">
        <f t="shared" si="106"/>
        <v>0</v>
      </c>
      <c r="S147" s="264">
        <f t="shared" si="106"/>
        <v>0</v>
      </c>
      <c r="T147" s="264">
        <f t="shared" si="106"/>
        <v>0</v>
      </c>
      <c r="U147" s="264">
        <f t="shared" si="106"/>
        <v>0</v>
      </c>
      <c r="V147" s="264">
        <f t="shared" si="106"/>
        <v>0</v>
      </c>
      <c r="W147" s="264">
        <f t="shared" si="106"/>
        <v>0</v>
      </c>
      <c r="X147" s="264">
        <f t="shared" si="106"/>
        <v>0</v>
      </c>
      <c r="Y147" s="264"/>
      <c r="Z147" s="264">
        <f t="shared" ref="Z147" si="107">Z110-Z109</f>
        <v>0</v>
      </c>
    </row>
    <row r="148" spans="3:26">
      <c r="C148" s="11" t="s">
        <v>770</v>
      </c>
      <c r="E148" s="264">
        <f t="shared" ref="E148:X148" si="108">E111-E110</f>
        <v>0</v>
      </c>
      <c r="F148" s="264">
        <f t="shared" si="108"/>
        <v>0</v>
      </c>
      <c r="G148" s="264">
        <f t="shared" si="108"/>
        <v>0</v>
      </c>
      <c r="H148" s="264">
        <f t="shared" si="108"/>
        <v>0</v>
      </c>
      <c r="I148" s="264">
        <f t="shared" si="108"/>
        <v>0</v>
      </c>
      <c r="J148" s="264">
        <f t="shared" si="108"/>
        <v>0</v>
      </c>
      <c r="K148" s="264">
        <f t="shared" si="108"/>
        <v>0</v>
      </c>
      <c r="L148" s="264">
        <f t="shared" si="108"/>
        <v>0</v>
      </c>
      <c r="M148" s="264">
        <f t="shared" si="108"/>
        <v>0</v>
      </c>
      <c r="N148" s="264">
        <f t="shared" si="108"/>
        <v>0</v>
      </c>
      <c r="O148" s="264">
        <f t="shared" si="108"/>
        <v>0</v>
      </c>
      <c r="P148" s="264">
        <f t="shared" si="108"/>
        <v>0</v>
      </c>
      <c r="Q148" s="264">
        <f t="shared" si="108"/>
        <v>0</v>
      </c>
      <c r="R148" s="264">
        <f t="shared" si="108"/>
        <v>0</v>
      </c>
      <c r="S148" s="264">
        <f t="shared" si="108"/>
        <v>0</v>
      </c>
      <c r="T148" s="264">
        <f t="shared" si="108"/>
        <v>0</v>
      </c>
      <c r="U148" s="264">
        <f t="shared" si="108"/>
        <v>0</v>
      </c>
      <c r="V148" s="264">
        <f t="shared" si="108"/>
        <v>0</v>
      </c>
      <c r="W148" s="264">
        <f t="shared" si="108"/>
        <v>0</v>
      </c>
      <c r="X148" s="264">
        <f t="shared" si="108"/>
        <v>0</v>
      </c>
      <c r="Y148" s="264"/>
      <c r="Z148" s="264">
        <f t="shared" ref="Z148" si="109">Z111-Z110</f>
        <v>0</v>
      </c>
    </row>
    <row r="149" spans="3:26">
      <c r="C149" s="11" t="s">
        <v>771</v>
      </c>
      <c r="E149" s="264">
        <f t="shared" ref="E149:X149" si="110">E112-E111</f>
        <v>0</v>
      </c>
      <c r="F149" s="264">
        <f t="shared" si="110"/>
        <v>0</v>
      </c>
      <c r="G149" s="264">
        <f t="shared" si="110"/>
        <v>0</v>
      </c>
      <c r="H149" s="264">
        <f t="shared" si="110"/>
        <v>0</v>
      </c>
      <c r="I149" s="264">
        <f t="shared" si="110"/>
        <v>0</v>
      </c>
      <c r="J149" s="264">
        <f t="shared" si="110"/>
        <v>0</v>
      </c>
      <c r="K149" s="264">
        <f t="shared" si="110"/>
        <v>0</v>
      </c>
      <c r="L149" s="264">
        <f t="shared" si="110"/>
        <v>0</v>
      </c>
      <c r="M149" s="264">
        <f t="shared" si="110"/>
        <v>0</v>
      </c>
      <c r="N149" s="264">
        <f t="shared" si="110"/>
        <v>0</v>
      </c>
      <c r="O149" s="264">
        <f t="shared" si="110"/>
        <v>0</v>
      </c>
      <c r="P149" s="264">
        <f t="shared" si="110"/>
        <v>0</v>
      </c>
      <c r="Q149" s="264">
        <f t="shared" si="110"/>
        <v>0</v>
      </c>
      <c r="R149" s="264">
        <f t="shared" si="110"/>
        <v>0</v>
      </c>
      <c r="S149" s="264">
        <f t="shared" si="110"/>
        <v>0</v>
      </c>
      <c r="T149" s="264">
        <f t="shared" si="110"/>
        <v>0</v>
      </c>
      <c r="U149" s="264">
        <f t="shared" si="110"/>
        <v>0</v>
      </c>
      <c r="V149" s="264">
        <f t="shared" si="110"/>
        <v>0</v>
      </c>
      <c r="W149" s="264">
        <f t="shared" si="110"/>
        <v>0</v>
      </c>
      <c r="X149" s="264">
        <f t="shared" si="110"/>
        <v>0</v>
      </c>
      <c r="Y149" s="264"/>
      <c r="Z149" s="264">
        <f t="shared" ref="Z149" si="111">Z112-Z111</f>
        <v>0</v>
      </c>
    </row>
    <row r="150" spans="3:26">
      <c r="C150" s="11" t="s">
        <v>772</v>
      </c>
      <c r="E150" s="264">
        <f t="shared" ref="E150:X150" si="112">E113-E112</f>
        <v>0</v>
      </c>
      <c r="F150" s="264">
        <f t="shared" si="112"/>
        <v>0</v>
      </c>
      <c r="G150" s="264">
        <f t="shared" si="112"/>
        <v>0</v>
      </c>
      <c r="H150" s="264">
        <f t="shared" si="112"/>
        <v>0</v>
      </c>
      <c r="I150" s="264">
        <f t="shared" si="112"/>
        <v>0</v>
      </c>
      <c r="J150" s="264">
        <f t="shared" si="112"/>
        <v>0</v>
      </c>
      <c r="K150" s="264">
        <f t="shared" si="112"/>
        <v>0</v>
      </c>
      <c r="L150" s="264">
        <f t="shared" si="112"/>
        <v>0</v>
      </c>
      <c r="M150" s="264">
        <f t="shared" si="112"/>
        <v>0</v>
      </c>
      <c r="N150" s="264">
        <f t="shared" si="112"/>
        <v>0</v>
      </c>
      <c r="O150" s="264">
        <f t="shared" si="112"/>
        <v>0</v>
      </c>
      <c r="P150" s="264">
        <f t="shared" si="112"/>
        <v>0</v>
      </c>
      <c r="Q150" s="264">
        <f t="shared" si="112"/>
        <v>0</v>
      </c>
      <c r="R150" s="264">
        <f t="shared" si="112"/>
        <v>0</v>
      </c>
      <c r="S150" s="264">
        <f t="shared" si="112"/>
        <v>0</v>
      </c>
      <c r="T150" s="264">
        <f t="shared" si="112"/>
        <v>0</v>
      </c>
      <c r="U150" s="264">
        <f t="shared" si="112"/>
        <v>0</v>
      </c>
      <c r="V150" s="264">
        <f t="shared" si="112"/>
        <v>0</v>
      </c>
      <c r="W150" s="264">
        <f t="shared" si="112"/>
        <v>0</v>
      </c>
      <c r="X150" s="264">
        <f t="shared" si="112"/>
        <v>0</v>
      </c>
      <c r="Y150" s="264"/>
      <c r="Z150" s="264">
        <f t="shared" ref="Z150" si="113">Z113-Z112</f>
        <v>0</v>
      </c>
    </row>
    <row r="151" spans="3:26">
      <c r="E151" s="170"/>
    </row>
    <row r="152" spans="3:26" ht="15">
      <c r="C152" s="416" t="s">
        <v>974</v>
      </c>
      <c r="D152" s="417"/>
      <c r="E152" s="417">
        <f t="shared" ref="E152:X152" si="114">SUM(E119:E150)</f>
        <v>6.5856513615616823</v>
      </c>
      <c r="F152" s="417">
        <f t="shared" si="114"/>
        <v>8.1490181577391567</v>
      </c>
      <c r="G152" s="417">
        <f t="shared" si="114"/>
        <v>9.2657087264373512</v>
      </c>
      <c r="H152" s="417">
        <f t="shared" si="114"/>
        <v>9.9636403318737248</v>
      </c>
      <c r="I152" s="417">
        <f t="shared" si="114"/>
        <v>10.351380112671707</v>
      </c>
      <c r="J152" s="417">
        <f t="shared" si="114"/>
        <v>10.581655873084529</v>
      </c>
      <c r="K152" s="417">
        <f t="shared" si="114"/>
        <v>10.660817537777291</v>
      </c>
      <c r="L152" s="417">
        <f t="shared" si="114"/>
        <v>10.690788107763575</v>
      </c>
      <c r="M152" s="417">
        <f t="shared" si="114"/>
        <v>10.700425331767169</v>
      </c>
      <c r="N152" s="417">
        <f t="shared" si="114"/>
        <v>10.702868936663634</v>
      </c>
      <c r="O152" s="417">
        <f t="shared" si="114"/>
        <v>10.70313286058596</v>
      </c>
      <c r="P152" s="417">
        <f t="shared" si="114"/>
        <v>10.702897532600542</v>
      </c>
      <c r="Q152" s="417">
        <f t="shared" si="114"/>
        <v>10.702610243199977</v>
      </c>
      <c r="R152" s="417">
        <f t="shared" si="114"/>
        <v>10.702359929438828</v>
      </c>
      <c r="S152" s="417">
        <f t="shared" si="114"/>
        <v>10.702162787400006</v>
      </c>
      <c r="T152" s="417">
        <f t="shared" si="114"/>
        <v>10.702010442086506</v>
      </c>
      <c r="U152" s="417">
        <f t="shared" si="114"/>
        <v>10.701898591086245</v>
      </c>
      <c r="V152" s="417">
        <f t="shared" si="114"/>
        <v>10.701803343101679</v>
      </c>
      <c r="W152" s="417">
        <f t="shared" si="114"/>
        <v>10.70170921638994</v>
      </c>
      <c r="X152" s="417">
        <f t="shared" si="114"/>
        <v>10.70162045622752</v>
      </c>
      <c r="Y152" s="417"/>
      <c r="Z152" s="417"/>
    </row>
    <row r="153" spans="3:26" ht="15">
      <c r="C153" s="416" t="s">
        <v>1004</v>
      </c>
      <c r="D153" s="417"/>
      <c r="E153" s="417">
        <f>IF((D153+E152)&lt;$Z$153,(D153+E152),$Z$153)</f>
        <v>6.5856513615616823</v>
      </c>
      <c r="F153" s="417">
        <f t="shared" ref="F153:X153" si="115">IF((E153+F152)&lt;$Z$153,(E153+F152),$Z$153)</f>
        <v>14.734669519300839</v>
      </c>
      <c r="G153" s="417">
        <f t="shared" si="115"/>
        <v>24.00037824573819</v>
      </c>
      <c r="H153" s="417">
        <f t="shared" si="115"/>
        <v>33.964018577611917</v>
      </c>
      <c r="I153" s="417">
        <f t="shared" si="115"/>
        <v>44.315398690283622</v>
      </c>
      <c r="J153" s="417">
        <f t="shared" si="115"/>
        <v>49.101696370350929</v>
      </c>
      <c r="K153" s="417">
        <f t="shared" si="115"/>
        <v>49.101696370350929</v>
      </c>
      <c r="L153" s="417">
        <f t="shared" si="115"/>
        <v>49.101696370350929</v>
      </c>
      <c r="M153" s="417">
        <f t="shared" si="115"/>
        <v>49.101696370350929</v>
      </c>
      <c r="N153" s="417">
        <f t="shared" si="115"/>
        <v>49.101696370350929</v>
      </c>
      <c r="O153" s="417">
        <f t="shared" si="115"/>
        <v>49.101696370350929</v>
      </c>
      <c r="P153" s="417">
        <f t="shared" si="115"/>
        <v>49.101696370350929</v>
      </c>
      <c r="Q153" s="417">
        <f t="shared" si="115"/>
        <v>49.101696370350929</v>
      </c>
      <c r="R153" s="417">
        <f t="shared" si="115"/>
        <v>49.101696370350929</v>
      </c>
      <c r="S153" s="417">
        <f t="shared" si="115"/>
        <v>49.101696370350929</v>
      </c>
      <c r="T153" s="417">
        <f t="shared" si="115"/>
        <v>49.101696370350929</v>
      </c>
      <c r="U153" s="417">
        <f t="shared" si="115"/>
        <v>49.101696370350929</v>
      </c>
      <c r="V153" s="417">
        <f t="shared" si="115"/>
        <v>49.101696370350929</v>
      </c>
      <c r="W153" s="417">
        <f t="shared" si="115"/>
        <v>49.101696370350929</v>
      </c>
      <c r="X153" s="417">
        <f t="shared" si="115"/>
        <v>49.101696370350929</v>
      </c>
      <c r="Y153" s="417"/>
      <c r="Z153" s="417">
        <f>SUM(Z119:Z150)</f>
        <v>49.101696370350929</v>
      </c>
    </row>
    <row r="154" spans="3:26">
      <c r="C154" s="243"/>
      <c r="D154" s="243"/>
      <c r="E154" s="333"/>
      <c r="F154" s="333"/>
      <c r="G154" s="333"/>
      <c r="H154" s="333"/>
      <c r="I154" s="333"/>
      <c r="J154" s="333"/>
      <c r="K154" s="333"/>
      <c r="L154" s="333"/>
      <c r="M154" s="333"/>
      <c r="N154" s="333"/>
      <c r="O154" s="333"/>
      <c r="P154" s="333"/>
      <c r="Q154" s="333"/>
      <c r="R154" s="333"/>
      <c r="S154" s="333"/>
      <c r="T154" s="333"/>
      <c r="U154" s="333"/>
      <c r="V154" s="333"/>
      <c r="W154" s="333"/>
      <c r="X154" s="333"/>
    </row>
    <row r="155" spans="3:26">
      <c r="C155" s="243"/>
      <c r="D155" s="243"/>
      <c r="E155" s="333"/>
      <c r="F155" s="333"/>
      <c r="G155" s="333"/>
      <c r="H155" s="333"/>
      <c r="I155" s="333"/>
      <c r="J155" s="333"/>
      <c r="K155" s="333"/>
      <c r="L155" s="333"/>
      <c r="M155" s="333"/>
      <c r="N155" s="333"/>
      <c r="O155" s="333"/>
      <c r="P155" s="333"/>
      <c r="Q155" s="333"/>
      <c r="R155" s="333"/>
      <c r="S155" s="333"/>
      <c r="T155" s="333"/>
      <c r="U155" s="333"/>
      <c r="V155" s="333"/>
      <c r="W155" s="333"/>
      <c r="X155" s="333"/>
    </row>
  </sheetData>
  <mergeCells count="1">
    <mergeCell ref="B1:S5"/>
  </mergeCells>
  <dataValidations disablePrompts="1" count="1">
    <dataValidation type="list" allowBlank="1" showInputMessage="1" showErrorMessage="1" sqref="D8">
      <formula1>"ID, MT, OR, WA, Region"</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EA14"/>
  <sheetViews>
    <sheetView workbookViewId="0">
      <selection activeCell="B20" sqref="B20"/>
    </sheetView>
  </sheetViews>
  <sheetFormatPr defaultRowHeight="12.75"/>
  <sheetData>
    <row r="1" spans="1:131" ht="13.5" thickBot="1">
      <c r="A1" s="368" t="s">
        <v>662</v>
      </c>
      <c r="B1" s="370"/>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row>
    <row r="2" spans="1:131" ht="13.5" thickBot="1">
      <c r="A2" s="396"/>
      <c r="B2" s="397"/>
      <c r="C2" s="398"/>
      <c r="D2" s="398"/>
      <c r="E2" s="398"/>
      <c r="F2" s="398"/>
      <c r="G2" s="398"/>
      <c r="H2" s="398"/>
      <c r="I2" s="398"/>
      <c r="J2" s="398"/>
      <c r="K2" s="398"/>
      <c r="L2" s="398"/>
      <c r="M2" s="398"/>
      <c r="N2" s="398"/>
      <c r="O2" s="399" t="s">
        <v>961</v>
      </c>
      <c r="P2" s="400"/>
      <c r="Q2" s="400"/>
      <c r="R2" s="400"/>
      <c r="S2" s="400"/>
      <c r="T2" s="400"/>
      <c r="U2" s="400"/>
      <c r="V2" s="400"/>
      <c r="W2" s="400"/>
      <c r="X2" s="400"/>
      <c r="Y2" s="400"/>
      <c r="Z2" s="388"/>
      <c r="AA2" s="398"/>
      <c r="AB2" s="399" t="s">
        <v>962</v>
      </c>
      <c r="AC2" s="400"/>
      <c r="AD2" s="400"/>
      <c r="AE2" s="400"/>
      <c r="AF2" s="400"/>
      <c r="AG2" s="400"/>
      <c r="AH2" s="400"/>
      <c r="AI2" s="400"/>
      <c r="AJ2" s="400"/>
      <c r="AK2" s="400"/>
      <c r="AL2" s="400"/>
      <c r="AM2" s="388"/>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row>
    <row r="3" spans="1:131" ht="191.25">
      <c r="A3" s="379" t="s">
        <v>308</v>
      </c>
      <c r="B3" s="380" t="s">
        <v>309</v>
      </c>
      <c r="C3" s="381" t="s">
        <v>663</v>
      </c>
      <c r="D3" s="381" t="s">
        <v>617</v>
      </c>
      <c r="E3" s="381" t="s">
        <v>618</v>
      </c>
      <c r="F3" s="381" t="s">
        <v>619</v>
      </c>
      <c r="G3" s="381" t="s">
        <v>620</v>
      </c>
      <c r="H3" s="381" t="s">
        <v>621</v>
      </c>
      <c r="I3" s="381" t="s">
        <v>622</v>
      </c>
      <c r="J3" s="381" t="s">
        <v>623</v>
      </c>
      <c r="K3" s="381" t="s">
        <v>372</v>
      </c>
      <c r="L3" s="381" t="s">
        <v>371</v>
      </c>
      <c r="M3" s="381" t="s">
        <v>624</v>
      </c>
      <c r="N3" s="381" t="s">
        <v>963</v>
      </c>
      <c r="O3" s="381" t="s">
        <v>625</v>
      </c>
      <c r="P3" s="381" t="s">
        <v>626</v>
      </c>
      <c r="Q3" s="381" t="s">
        <v>627</v>
      </c>
      <c r="R3" s="381" t="s">
        <v>628</v>
      </c>
      <c r="S3" s="381" t="s">
        <v>629</v>
      </c>
      <c r="T3" s="381" t="s">
        <v>630</v>
      </c>
      <c r="U3" s="381" t="s">
        <v>631</v>
      </c>
      <c r="V3" s="381" t="s">
        <v>632</v>
      </c>
      <c r="W3" s="381" t="s">
        <v>633</v>
      </c>
      <c r="X3" s="381" t="s">
        <v>634</v>
      </c>
      <c r="Y3" s="381" t="s">
        <v>635</v>
      </c>
      <c r="Z3" s="381" t="s">
        <v>636</v>
      </c>
      <c r="AA3" s="381"/>
      <c r="AB3" s="381" t="s">
        <v>625</v>
      </c>
      <c r="AC3" s="381" t="s">
        <v>626</v>
      </c>
      <c r="AD3" s="381" t="s">
        <v>627</v>
      </c>
      <c r="AE3" s="381" t="s">
        <v>628</v>
      </c>
      <c r="AF3" s="381" t="s">
        <v>629</v>
      </c>
      <c r="AG3" s="381" t="s">
        <v>630</v>
      </c>
      <c r="AH3" s="381" t="s">
        <v>631</v>
      </c>
      <c r="AI3" s="381" t="s">
        <v>632</v>
      </c>
      <c r="AJ3" s="381" t="s">
        <v>633</v>
      </c>
      <c r="AK3" s="381" t="s">
        <v>634</v>
      </c>
      <c r="AL3" s="381" t="s">
        <v>635</v>
      </c>
      <c r="AM3" s="381" t="s">
        <v>636</v>
      </c>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row>
    <row r="4" spans="1:131">
      <c r="A4" s="11" t="s">
        <v>664</v>
      </c>
      <c r="B4" s="11"/>
      <c r="C4" s="166">
        <v>345.42828990947618</v>
      </c>
      <c r="D4" s="166">
        <v>-8.5918959509302795</v>
      </c>
      <c r="E4" s="166">
        <v>-1.7183791901860559</v>
      </c>
      <c r="F4" s="166">
        <v>-10.310275141116335</v>
      </c>
      <c r="G4" s="166">
        <v>-468.95768454782376</v>
      </c>
      <c r="H4" s="166">
        <v>249.12640769786555</v>
      </c>
      <c r="I4" s="166">
        <v>-261.46674396543511</v>
      </c>
      <c r="J4" s="166">
        <v>-18.369062264711971</v>
      </c>
      <c r="K4" s="166">
        <v>-117.67195201412203</v>
      </c>
      <c r="L4" s="383">
        <v>9999</v>
      </c>
      <c r="M4" s="166">
        <v>3.2815839422367321</v>
      </c>
      <c r="N4" s="166">
        <v>8.0741428992020942E-2</v>
      </c>
      <c r="O4" s="166">
        <v>14.354238834876915</v>
      </c>
      <c r="P4" s="166">
        <v>10.554999408362274</v>
      </c>
      <c r="Q4" s="166">
        <v>9.7715692128522278</v>
      </c>
      <c r="R4" s="166">
        <v>5.5879331732349788</v>
      </c>
      <c r="S4" s="166">
        <v>4.4884486279455649</v>
      </c>
      <c r="T4" s="166">
        <v>3.4834944677306874</v>
      </c>
      <c r="U4" s="166">
        <v>3.6485018388012316</v>
      </c>
      <c r="V4" s="166">
        <v>5.2980471214421785</v>
      </c>
      <c r="W4" s="166">
        <v>6.6817326782512199</v>
      </c>
      <c r="X4" s="166">
        <v>10.890107921335716</v>
      </c>
      <c r="Y4" s="166">
        <v>12.696281482442966</v>
      </c>
      <c r="Z4" s="166">
        <v>15.061606722201828</v>
      </c>
      <c r="AA4" s="166"/>
      <c r="AB4" s="166">
        <v>23.568835217118238</v>
      </c>
      <c r="AC4" s="166">
        <v>20.388813309884839</v>
      </c>
      <c r="AD4" s="166">
        <v>20.488701404707946</v>
      </c>
      <c r="AE4" s="166">
        <v>19.413583710035187</v>
      </c>
      <c r="AF4" s="166">
        <v>17.878061065201031</v>
      </c>
      <c r="AG4" s="166">
        <v>16.238885800282048</v>
      </c>
      <c r="AH4" s="166">
        <v>17.753253574658729</v>
      </c>
      <c r="AI4" s="166">
        <v>19.186846481024503</v>
      </c>
      <c r="AJ4" s="166">
        <v>20.597972638317124</v>
      </c>
      <c r="AK4" s="166">
        <v>21.320861890906876</v>
      </c>
      <c r="AL4" s="166">
        <v>22.477997305419027</v>
      </c>
      <c r="AM4" s="32">
        <v>23.5975160224428</v>
      </c>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row>
    <row r="5" spans="1:131">
      <c r="A5" s="11" t="s">
        <v>666</v>
      </c>
      <c r="B5" s="11"/>
      <c r="C5" s="166">
        <v>754.1040131826594</v>
      </c>
      <c r="D5" s="166">
        <v>2.0115772129567233</v>
      </c>
      <c r="E5" s="166">
        <v>0.40231544259134466</v>
      </c>
      <c r="F5" s="166">
        <v>2.413892655548068</v>
      </c>
      <c r="G5" s="166">
        <v>-456.56944591489059</v>
      </c>
      <c r="H5" s="166">
        <v>543.86750976294604</v>
      </c>
      <c r="I5" s="166">
        <v>28.040826322295615</v>
      </c>
      <c r="J5" s="166">
        <v>-17.712912269680494</v>
      </c>
      <c r="K5" s="166">
        <v>-62.326259680304034</v>
      </c>
      <c r="L5" s="383">
        <v>344.57587114380487</v>
      </c>
      <c r="M5" s="166">
        <v>7.1640212823477789</v>
      </c>
      <c r="N5" s="166">
        <v>0.1762664999121584</v>
      </c>
      <c r="O5" s="166">
        <v>31.336718583182005</v>
      </c>
      <c r="P5" s="166">
        <v>23.042604342199336</v>
      </c>
      <c r="Q5" s="166">
        <v>21.332298985804162</v>
      </c>
      <c r="R5" s="166">
        <v>12.19900904016087</v>
      </c>
      <c r="S5" s="166">
        <v>9.7987258779093338</v>
      </c>
      <c r="T5" s="166">
        <v>7.6048118661726276</v>
      </c>
      <c r="U5" s="166">
        <v>7.965039225551986</v>
      </c>
      <c r="V5" s="166">
        <v>11.566159208782222</v>
      </c>
      <c r="W5" s="166">
        <v>14.586881198999142</v>
      </c>
      <c r="X5" s="166">
        <v>23.774179264887835</v>
      </c>
      <c r="Y5" s="166">
        <v>27.717234222234651</v>
      </c>
      <c r="Z5" s="166">
        <v>32.880972421708215</v>
      </c>
      <c r="AA5" s="166"/>
      <c r="AB5" s="166">
        <v>51.453090966948281</v>
      </c>
      <c r="AC5" s="166">
        <v>44.510789620171131</v>
      </c>
      <c r="AD5" s="166">
        <v>44.728855179292005</v>
      </c>
      <c r="AE5" s="166">
        <v>42.381767254302176</v>
      </c>
      <c r="AF5" s="166">
        <v>39.029569931072679</v>
      </c>
      <c r="AG5" s="166">
        <v>35.451088718925604</v>
      </c>
      <c r="AH5" s="166">
        <v>38.757102874254976</v>
      </c>
      <c r="AI5" s="166">
        <v>41.886777528997158</v>
      </c>
      <c r="AJ5" s="166">
        <v>44.967405055481052</v>
      </c>
      <c r="AK5" s="166">
        <v>46.545543564655858</v>
      </c>
      <c r="AL5" s="166">
        <v>49.071684258309148</v>
      </c>
      <c r="AM5" s="32">
        <v>51.515703992656817</v>
      </c>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row>
    <row r="6" spans="1:131">
      <c r="A6" s="11" t="s">
        <v>665</v>
      </c>
      <c r="B6" s="11"/>
      <c r="C6" s="166">
        <v>462.19278227324287</v>
      </c>
      <c r="D6" s="166">
        <v>2.0115772129567233</v>
      </c>
      <c r="E6" s="166">
        <v>0.40231544259134466</v>
      </c>
      <c r="F6" s="166">
        <v>2.413892655548068</v>
      </c>
      <c r="G6" s="166">
        <v>-456.56944591489059</v>
      </c>
      <c r="H6" s="166">
        <v>333.33815114503147</v>
      </c>
      <c r="I6" s="166">
        <v>45.750821894271795</v>
      </c>
      <c r="J6" s="166">
        <v>-17.6727737216798</v>
      </c>
      <c r="K6" s="166">
        <v>-90.462972128486626</v>
      </c>
      <c r="L6" s="383">
        <v>272.27465578187531</v>
      </c>
      <c r="M6" s="166">
        <v>4.3908517536970244</v>
      </c>
      <c r="N6" s="166">
        <v>0.10803430639777449</v>
      </c>
      <c r="O6" s="166">
        <v>19.206375905821229</v>
      </c>
      <c r="P6" s="166">
        <v>14.122886532315722</v>
      </c>
      <c r="Q6" s="166">
        <v>13.074634862267068</v>
      </c>
      <c r="R6" s="166">
        <v>7.4768119923566623</v>
      </c>
      <c r="S6" s="166">
        <v>6.0056706993637858</v>
      </c>
      <c r="T6" s="166">
        <v>4.6610137244283845</v>
      </c>
      <c r="U6" s="166">
        <v>4.881798235015733</v>
      </c>
      <c r="V6" s="166">
        <v>7.0889362892536205</v>
      </c>
      <c r="W6" s="166">
        <v>8.9403465413220555</v>
      </c>
      <c r="X6" s="166">
        <v>14.571271162350607</v>
      </c>
      <c r="Y6" s="166">
        <v>16.987982265240593</v>
      </c>
      <c r="Z6" s="166">
        <v>20.152854064917939</v>
      </c>
      <c r="AA6" s="166"/>
      <c r="AB6" s="166">
        <v>31.535765431355397</v>
      </c>
      <c r="AC6" s="166">
        <v>27.280806541395208</v>
      </c>
      <c r="AD6" s="166">
        <v>27.414459626017681</v>
      </c>
      <c r="AE6" s="166">
        <v>25.975921865540045</v>
      </c>
      <c r="AF6" s="166">
        <v>23.92134931259293</v>
      </c>
      <c r="AG6" s="166">
        <v>21.728086634180208</v>
      </c>
      <c r="AH6" s="166">
        <v>23.754353374543371</v>
      </c>
      <c r="AI6" s="166">
        <v>25.67254106615955</v>
      </c>
      <c r="AJ6" s="166">
        <v>27.560667614649677</v>
      </c>
      <c r="AK6" s="166">
        <v>28.5279137976923</v>
      </c>
      <c r="AL6" s="166">
        <v>30.076193577673347</v>
      </c>
      <c r="AM6" s="32">
        <v>31.574141156789665</v>
      </c>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row>
    <row r="7" spans="1:131">
      <c r="A7" s="11" t="s">
        <v>667</v>
      </c>
      <c r="B7" s="11"/>
      <c r="C7" s="166">
        <v>1352.5220365469634</v>
      </c>
      <c r="D7" s="166">
        <v>134.02315442591345</v>
      </c>
      <c r="E7" s="166">
        <v>26.804630885182689</v>
      </c>
      <c r="F7" s="166">
        <v>160.82778531109614</v>
      </c>
      <c r="G7" s="166">
        <v>-274.71650403990441</v>
      </c>
      <c r="H7" s="166">
        <v>975.45269492967157</v>
      </c>
      <c r="I7" s="166">
        <v>1041.6476488043402</v>
      </c>
      <c r="J7" s="166">
        <v>-15.415638623694418</v>
      </c>
      <c r="K7" s="166">
        <v>-32.721967273198892</v>
      </c>
      <c r="L7" s="383">
        <v>7.4440454814210639</v>
      </c>
      <c r="M7" s="166">
        <v>12.849018816081845</v>
      </c>
      <c r="N7" s="166">
        <v>0.3161424966166454</v>
      </c>
      <c r="O7" s="166">
        <v>56.203921071771596</v>
      </c>
      <c r="P7" s="166">
        <v>41.328025852460748</v>
      </c>
      <c r="Q7" s="166">
        <v>38.26051043905521</v>
      </c>
      <c r="R7" s="166">
        <v>21.879512988159497</v>
      </c>
      <c r="S7" s="166">
        <v>17.574488993927709</v>
      </c>
      <c r="T7" s="166">
        <v>13.639598056748326</v>
      </c>
      <c r="U7" s="166">
        <v>14.285683256151303</v>
      </c>
      <c r="V7" s="166">
        <v>20.744466193815857</v>
      </c>
      <c r="W7" s="166">
        <v>26.162277247237174</v>
      </c>
      <c r="X7" s="166">
        <v>42.640140875089152</v>
      </c>
      <c r="Y7" s="166">
        <v>49.712200734072475</v>
      </c>
      <c r="Z7" s="166">
        <v>58.973615053128292</v>
      </c>
      <c r="AA7" s="166"/>
      <c r="AB7" s="166">
        <v>92.283608314913693</v>
      </c>
      <c r="AC7" s="166">
        <v>79.832254931661765</v>
      </c>
      <c r="AD7" s="166">
        <v>80.223366063504372</v>
      </c>
      <c r="AE7" s="166">
        <v>76.013750301264565</v>
      </c>
      <c r="AF7" s="166">
        <v>70.001422198956163</v>
      </c>
      <c r="AG7" s="166">
        <v>63.583242992653673</v>
      </c>
      <c r="AH7" s="166">
        <v>69.512739348663771</v>
      </c>
      <c r="AI7" s="166">
        <v>75.125962277814267</v>
      </c>
      <c r="AJ7" s="166">
        <v>80.651216809185371</v>
      </c>
      <c r="AK7" s="166">
        <v>83.481684586931166</v>
      </c>
      <c r="AL7" s="166">
        <v>88.012440153612545</v>
      </c>
      <c r="AM7" s="32">
        <v>92.395907806184496</v>
      </c>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row>
    <row r="8" spans="1:131">
      <c r="A8" s="11" t="s">
        <v>669</v>
      </c>
      <c r="B8" s="11"/>
      <c r="C8" s="166">
        <v>345.42828990947618</v>
      </c>
      <c r="D8" s="166">
        <v>113.40810404906972</v>
      </c>
      <c r="E8" s="166">
        <v>22.681620809813946</v>
      </c>
      <c r="F8" s="166">
        <v>136.08972485888367</v>
      </c>
      <c r="G8" s="166">
        <v>-292.3578903944707</v>
      </c>
      <c r="H8" s="166">
        <v>249.12640769786555</v>
      </c>
      <c r="I8" s="166">
        <v>3451.2112197765787</v>
      </c>
      <c r="J8" s="166">
        <v>-9.9545202026799231</v>
      </c>
      <c r="K8" s="166">
        <v>-80.053371425703361</v>
      </c>
      <c r="L8" s="383">
        <v>4.2984614685873614</v>
      </c>
      <c r="M8" s="166">
        <v>3.2815839422367321</v>
      </c>
      <c r="N8" s="166">
        <v>8.0741428992020942E-2</v>
      </c>
      <c r="O8" s="166">
        <v>14.354238834876915</v>
      </c>
      <c r="P8" s="166">
        <v>10.554999408362274</v>
      </c>
      <c r="Q8" s="166">
        <v>9.7715692128522278</v>
      </c>
      <c r="R8" s="166">
        <v>5.5879331732349788</v>
      </c>
      <c r="S8" s="166">
        <v>4.4884486279455649</v>
      </c>
      <c r="T8" s="166">
        <v>3.4834944677306874</v>
      </c>
      <c r="U8" s="166">
        <v>3.6485018388012316</v>
      </c>
      <c r="V8" s="166">
        <v>5.2980471214421785</v>
      </c>
      <c r="W8" s="166">
        <v>6.6817326782512199</v>
      </c>
      <c r="X8" s="166">
        <v>10.890107921335716</v>
      </c>
      <c r="Y8" s="166">
        <v>12.696281482442966</v>
      </c>
      <c r="Z8" s="166">
        <v>15.061606722201828</v>
      </c>
      <c r="AA8" s="166"/>
      <c r="AB8" s="166">
        <v>23.568835217118238</v>
      </c>
      <c r="AC8" s="166">
        <v>20.388813309884839</v>
      </c>
      <c r="AD8" s="166">
        <v>20.488701404707946</v>
      </c>
      <c r="AE8" s="166">
        <v>19.413583710035187</v>
      </c>
      <c r="AF8" s="166">
        <v>17.878061065201031</v>
      </c>
      <c r="AG8" s="166">
        <v>16.238885800282048</v>
      </c>
      <c r="AH8" s="166">
        <v>17.753253574658729</v>
      </c>
      <c r="AI8" s="166">
        <v>19.186846481024503</v>
      </c>
      <c r="AJ8" s="166">
        <v>20.597972638317124</v>
      </c>
      <c r="AK8" s="166">
        <v>21.320861890906876</v>
      </c>
      <c r="AL8" s="166">
        <v>22.477997305419027</v>
      </c>
      <c r="AM8" s="32">
        <v>23.5975160224428</v>
      </c>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row>
    <row r="9" spans="1:131">
      <c r="A9" s="11" t="s">
        <v>671</v>
      </c>
      <c r="B9" s="11"/>
      <c r="C9" s="166">
        <v>754.1040131826594</v>
      </c>
      <c r="D9" s="166">
        <v>162.01157721295672</v>
      </c>
      <c r="E9" s="166">
        <v>32.402315442591345</v>
      </c>
      <c r="F9" s="166">
        <v>194.41389265554807</v>
      </c>
      <c r="G9" s="166">
        <v>-224.96315850065699</v>
      </c>
      <c r="H9" s="166">
        <v>543.86750976294604</v>
      </c>
      <c r="I9" s="166">
        <v>2258.3962820657789</v>
      </c>
      <c r="J9" s="166">
        <v>-12.657957334477748</v>
      </c>
      <c r="K9" s="166">
        <v>-39.727260447917153</v>
      </c>
      <c r="L9" s="383">
        <v>4.2783422175841688</v>
      </c>
      <c r="M9" s="166">
        <v>7.1640212823477789</v>
      </c>
      <c r="N9" s="166">
        <v>0.1762664999121584</v>
      </c>
      <c r="O9" s="166">
        <v>31.336718583182005</v>
      </c>
      <c r="P9" s="166">
        <v>23.042604342199336</v>
      </c>
      <c r="Q9" s="166">
        <v>21.332298985804162</v>
      </c>
      <c r="R9" s="166">
        <v>12.19900904016087</v>
      </c>
      <c r="S9" s="166">
        <v>9.7987258779093338</v>
      </c>
      <c r="T9" s="166">
        <v>7.6048118661726276</v>
      </c>
      <c r="U9" s="166">
        <v>7.965039225551986</v>
      </c>
      <c r="V9" s="166">
        <v>11.566159208782222</v>
      </c>
      <c r="W9" s="166">
        <v>14.586881198999142</v>
      </c>
      <c r="X9" s="166">
        <v>23.774179264887835</v>
      </c>
      <c r="Y9" s="166">
        <v>27.717234222234651</v>
      </c>
      <c r="Z9" s="166">
        <v>32.880972421708215</v>
      </c>
      <c r="AA9" s="166"/>
      <c r="AB9" s="166">
        <v>51.453090966948281</v>
      </c>
      <c r="AC9" s="166">
        <v>44.510789620171131</v>
      </c>
      <c r="AD9" s="166">
        <v>44.728855179292005</v>
      </c>
      <c r="AE9" s="166">
        <v>42.381767254302176</v>
      </c>
      <c r="AF9" s="166">
        <v>39.029569931072679</v>
      </c>
      <c r="AG9" s="166">
        <v>35.451088718925604</v>
      </c>
      <c r="AH9" s="166">
        <v>38.757102874254976</v>
      </c>
      <c r="AI9" s="166">
        <v>41.886777528997158</v>
      </c>
      <c r="AJ9" s="166">
        <v>44.967405055481052</v>
      </c>
      <c r="AK9" s="166">
        <v>46.545543564655858</v>
      </c>
      <c r="AL9" s="166">
        <v>49.071684258309148</v>
      </c>
      <c r="AM9" s="32">
        <v>51.515703992656817</v>
      </c>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row>
    <row r="10" spans="1:131">
      <c r="A10" s="11" t="s">
        <v>668</v>
      </c>
      <c r="B10" s="11"/>
      <c r="C10" s="166">
        <v>3303.4620964582305</v>
      </c>
      <c r="D10" s="166">
        <v>532.0694632777404</v>
      </c>
      <c r="E10" s="166">
        <v>106.41389265554808</v>
      </c>
      <c r="F10" s="166">
        <v>638.48335593328852</v>
      </c>
      <c r="G10" s="166">
        <v>299.34608185731651</v>
      </c>
      <c r="H10" s="166">
        <v>2382.490575026065</v>
      </c>
      <c r="I10" s="166">
        <v>1693.1068178358096</v>
      </c>
      <c r="J10" s="166">
        <v>-13.939148975778181</v>
      </c>
      <c r="K10" s="166">
        <v>-11.108790871834286</v>
      </c>
      <c r="L10" s="383">
        <v>3.7047099466654321</v>
      </c>
      <c r="M10" s="166">
        <v>31.383035165897827</v>
      </c>
      <c r="N10" s="166">
        <v>0.77216098993777771</v>
      </c>
      <c r="O10" s="166">
        <v>137.27504463213276</v>
      </c>
      <c r="P10" s="166">
        <v>100.94147321518288</v>
      </c>
      <c r="Q10" s="166">
        <v>93.449232331361458</v>
      </c>
      <c r="R10" s="166">
        <v>53.439529924317611</v>
      </c>
      <c r="S10" s="166">
        <v>42.924741103873792</v>
      </c>
      <c r="T10" s="166">
        <v>33.313982304072347</v>
      </c>
      <c r="U10" s="166">
        <v>34.892010542901922</v>
      </c>
      <c r="V10" s="166">
        <v>50.667239372665343</v>
      </c>
      <c r="W10" s="166">
        <v>63.899950542712368</v>
      </c>
      <c r="X10" s="166">
        <v>104.1462433603796</v>
      </c>
      <c r="Y10" s="166">
        <v>121.41936797998275</v>
      </c>
      <c r="Z10" s="166">
        <v>144.03987273767663</v>
      </c>
      <c r="AA10" s="166"/>
      <c r="AB10" s="166">
        <v>225.39773397779277</v>
      </c>
      <c r="AC10" s="166">
        <v>194.98597517481414</v>
      </c>
      <c r="AD10" s="166">
        <v>195.9412430112211</v>
      </c>
      <c r="AE10" s="166">
        <v>185.65948364949148</v>
      </c>
      <c r="AF10" s="166">
        <v>170.97469666579579</v>
      </c>
      <c r="AG10" s="166">
        <v>155.29864025903538</v>
      </c>
      <c r="AH10" s="166">
        <v>169.7811151717363</v>
      </c>
      <c r="AI10" s="166">
        <v>183.49110930444562</v>
      </c>
      <c r="AJ10" s="166">
        <v>196.98624537207505</v>
      </c>
      <c r="AK10" s="166">
        <v>203.89951019613758</v>
      </c>
      <c r="AL10" s="166">
        <v>214.96563620252846</v>
      </c>
      <c r="AM10" s="32">
        <v>225.67201942589662</v>
      </c>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row>
    <row r="11" spans="1:131">
      <c r="A11" s="11" t="s">
        <v>670</v>
      </c>
      <c r="B11" s="11"/>
      <c r="C11" s="166">
        <v>462.19278227324287</v>
      </c>
      <c r="D11" s="166">
        <v>162.01157721295672</v>
      </c>
      <c r="E11" s="166">
        <v>32.402315442591345</v>
      </c>
      <c r="F11" s="166">
        <v>194.41389265554807</v>
      </c>
      <c r="G11" s="166">
        <v>-224.96315850065699</v>
      </c>
      <c r="H11" s="166">
        <v>333.33815114503147</v>
      </c>
      <c r="I11" s="166">
        <v>3684.751828633639</v>
      </c>
      <c r="J11" s="166">
        <v>-9.4252156695068887</v>
      </c>
      <c r="K11" s="166">
        <v>-53.590920749329072</v>
      </c>
      <c r="L11" s="383">
        <v>3.3806318206292603</v>
      </c>
      <c r="M11" s="166">
        <v>4.3908517536970244</v>
      </c>
      <c r="N11" s="166">
        <v>0.10803430639777449</v>
      </c>
      <c r="O11" s="166">
        <v>19.206375905821229</v>
      </c>
      <c r="P11" s="166">
        <v>14.122886532315722</v>
      </c>
      <c r="Q11" s="166">
        <v>13.074634862267068</v>
      </c>
      <c r="R11" s="166">
        <v>7.4768119923566623</v>
      </c>
      <c r="S11" s="166">
        <v>6.0056706993637858</v>
      </c>
      <c r="T11" s="166">
        <v>4.6610137244283845</v>
      </c>
      <c r="U11" s="166">
        <v>4.881798235015733</v>
      </c>
      <c r="V11" s="166">
        <v>7.0889362892536205</v>
      </c>
      <c r="W11" s="166">
        <v>8.9403465413220555</v>
      </c>
      <c r="X11" s="166">
        <v>14.571271162350607</v>
      </c>
      <c r="Y11" s="166">
        <v>16.987982265240593</v>
      </c>
      <c r="Z11" s="166">
        <v>20.152854064917939</v>
      </c>
      <c r="AA11" s="166"/>
      <c r="AB11" s="166">
        <v>31.535765431355397</v>
      </c>
      <c r="AC11" s="166">
        <v>27.280806541395208</v>
      </c>
      <c r="AD11" s="166">
        <v>27.414459626017681</v>
      </c>
      <c r="AE11" s="166">
        <v>25.975921865540045</v>
      </c>
      <c r="AF11" s="166">
        <v>23.92134931259293</v>
      </c>
      <c r="AG11" s="166">
        <v>21.728086634180208</v>
      </c>
      <c r="AH11" s="166">
        <v>23.754353374543371</v>
      </c>
      <c r="AI11" s="166">
        <v>25.67254106615955</v>
      </c>
      <c r="AJ11" s="166">
        <v>27.560667614649677</v>
      </c>
      <c r="AK11" s="166">
        <v>28.5279137976923</v>
      </c>
      <c r="AL11" s="166">
        <v>30.076193577673347</v>
      </c>
      <c r="AM11" s="32">
        <v>31.574141156789665</v>
      </c>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row>
    <row r="12" spans="1:131">
      <c r="A12" s="11" t="s">
        <v>672</v>
      </c>
      <c r="B12" s="11"/>
      <c r="C12" s="166">
        <v>1352.5220365469634</v>
      </c>
      <c r="D12" s="166">
        <v>324.02315442591345</v>
      </c>
      <c r="E12" s="166">
        <v>64.804630885182689</v>
      </c>
      <c r="F12" s="166">
        <v>388.82778531109614</v>
      </c>
      <c r="G12" s="166">
        <v>0.31596226449794074</v>
      </c>
      <c r="H12" s="166">
        <v>975.45269492967157</v>
      </c>
      <c r="I12" s="166">
        <v>2518.3555663323432</v>
      </c>
      <c r="J12" s="166">
        <v>-12.06877659937515</v>
      </c>
      <c r="K12" s="166">
        <v>-17.759275560208927</v>
      </c>
      <c r="L12" s="383">
        <v>3.079022111483495</v>
      </c>
      <c r="M12" s="166">
        <v>12.849018816081845</v>
      </c>
      <c r="N12" s="166">
        <v>0.3161424966166454</v>
      </c>
      <c r="O12" s="166">
        <v>56.203921071771596</v>
      </c>
      <c r="P12" s="166">
        <v>41.328025852460748</v>
      </c>
      <c r="Q12" s="166">
        <v>38.26051043905521</v>
      </c>
      <c r="R12" s="166">
        <v>21.879512988159497</v>
      </c>
      <c r="S12" s="166">
        <v>17.574488993927709</v>
      </c>
      <c r="T12" s="166">
        <v>13.639598056748326</v>
      </c>
      <c r="U12" s="166">
        <v>14.285683256151303</v>
      </c>
      <c r="V12" s="166">
        <v>20.744466193815857</v>
      </c>
      <c r="W12" s="166">
        <v>26.162277247237174</v>
      </c>
      <c r="X12" s="166">
        <v>42.640140875089152</v>
      </c>
      <c r="Y12" s="166">
        <v>49.712200734072475</v>
      </c>
      <c r="Z12" s="166">
        <v>58.973615053128292</v>
      </c>
      <c r="AA12" s="166"/>
      <c r="AB12" s="166">
        <v>92.283608314913693</v>
      </c>
      <c r="AC12" s="166">
        <v>79.832254931661765</v>
      </c>
      <c r="AD12" s="166">
        <v>80.223366063504372</v>
      </c>
      <c r="AE12" s="166">
        <v>76.013750301264565</v>
      </c>
      <c r="AF12" s="166">
        <v>70.001422198956163</v>
      </c>
      <c r="AG12" s="166">
        <v>63.583242992653673</v>
      </c>
      <c r="AH12" s="166">
        <v>69.512739348663771</v>
      </c>
      <c r="AI12" s="166">
        <v>75.125962277814267</v>
      </c>
      <c r="AJ12" s="166">
        <v>80.651216809185371</v>
      </c>
      <c r="AK12" s="166">
        <v>83.481684586931166</v>
      </c>
      <c r="AL12" s="166">
        <v>88.012440153612545</v>
      </c>
      <c r="AM12" s="32">
        <v>92.395907806184496</v>
      </c>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row>
    <row r="13" spans="1:131">
      <c r="A13" s="11" t="s">
        <v>673</v>
      </c>
      <c r="B13" s="11"/>
      <c r="C13" s="166">
        <v>3303.4620964582305</v>
      </c>
      <c r="D13" s="166">
        <v>972.0694632777404</v>
      </c>
      <c r="E13" s="166">
        <v>194.4138926555481</v>
      </c>
      <c r="F13" s="166">
        <v>1166.4833559332885</v>
      </c>
      <c r="G13" s="166">
        <v>936.26337224645908</v>
      </c>
      <c r="H13" s="166">
        <v>2382.490575026065</v>
      </c>
      <c r="I13" s="166">
        <v>3093.2379121077679</v>
      </c>
      <c r="J13" s="166">
        <v>-10.765843318738163</v>
      </c>
      <c r="K13" s="166">
        <v>3.0779888377458473</v>
      </c>
      <c r="L13" s="383">
        <v>2.0278005918171509</v>
      </c>
      <c r="M13" s="166">
        <v>31.383035165897827</v>
      </c>
      <c r="N13" s="166">
        <v>0.77216098993777771</v>
      </c>
      <c r="O13" s="166">
        <v>137.27504463213276</v>
      </c>
      <c r="P13" s="166">
        <v>100.94147321518288</v>
      </c>
      <c r="Q13" s="166">
        <v>93.449232331361458</v>
      </c>
      <c r="R13" s="166">
        <v>53.439529924317611</v>
      </c>
      <c r="S13" s="166">
        <v>42.924741103873792</v>
      </c>
      <c r="T13" s="166">
        <v>33.313982304072347</v>
      </c>
      <c r="U13" s="166">
        <v>34.892010542901922</v>
      </c>
      <c r="V13" s="166">
        <v>50.667239372665343</v>
      </c>
      <c r="W13" s="166">
        <v>63.899950542712368</v>
      </c>
      <c r="X13" s="166">
        <v>104.1462433603796</v>
      </c>
      <c r="Y13" s="166">
        <v>121.41936797998275</v>
      </c>
      <c r="Z13" s="166">
        <v>144.03987273767663</v>
      </c>
      <c r="AA13" s="166"/>
      <c r="AB13" s="166">
        <v>225.39773397779277</v>
      </c>
      <c r="AC13" s="166">
        <v>194.98597517481414</v>
      </c>
      <c r="AD13" s="166">
        <v>195.9412430112211</v>
      </c>
      <c r="AE13" s="166">
        <v>185.65948364949148</v>
      </c>
      <c r="AF13" s="166">
        <v>170.97469666579579</v>
      </c>
      <c r="AG13" s="166">
        <v>155.29864025903538</v>
      </c>
      <c r="AH13" s="166">
        <v>169.7811151717363</v>
      </c>
      <c r="AI13" s="166">
        <v>183.49110930444562</v>
      </c>
      <c r="AJ13" s="166">
        <v>196.98624537207505</v>
      </c>
      <c r="AK13" s="166">
        <v>203.89951019613758</v>
      </c>
      <c r="AL13" s="166">
        <v>214.96563620252846</v>
      </c>
      <c r="AM13" s="32">
        <v>225.67201942589662</v>
      </c>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row>
    <row r="14" spans="1:131">
      <c r="A14" s="11"/>
      <c r="B14" s="11"/>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18"/>
  <dimension ref="A1:EA144"/>
  <sheetViews>
    <sheetView workbookViewId="0">
      <selection activeCell="A34" sqref="A34:EA144"/>
    </sheetView>
  </sheetViews>
  <sheetFormatPr defaultRowHeight="12.75"/>
  <cols>
    <col min="1" max="1" width="32.42578125" customWidth="1"/>
    <col min="2" max="2" width="53.2851562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05">
      <c r="A1" s="2" t="s">
        <v>10</v>
      </c>
      <c r="B1" s="3"/>
      <c r="C1" s="3"/>
      <c r="D1" s="3"/>
      <c r="E1" s="3"/>
      <c r="F1" s="3"/>
      <c r="G1" s="3"/>
      <c r="H1" s="4"/>
      <c r="I1" s="5"/>
      <c r="J1" s="5"/>
      <c r="K1" s="5"/>
      <c r="L1" s="5"/>
      <c r="M1" s="5"/>
      <c r="N1" s="6"/>
      <c r="O1" s="7" t="e">
        <v>#REF!</v>
      </c>
      <c r="P1" s="6"/>
      <c r="Q1" s="6"/>
      <c r="R1" s="6"/>
      <c r="S1" s="4"/>
      <c r="T1" s="4"/>
      <c r="U1" s="4"/>
      <c r="V1" s="6"/>
      <c r="W1" s="4"/>
      <c r="X1" s="4"/>
      <c r="Y1" s="4"/>
      <c r="Z1" s="4"/>
      <c r="AA1" s="4"/>
      <c r="AB1" s="4"/>
      <c r="AC1" s="4"/>
      <c r="AD1" s="4"/>
      <c r="AE1" s="4"/>
      <c r="AF1" s="4"/>
      <c r="AG1" s="4"/>
      <c r="AH1" s="4"/>
      <c r="AI1" s="4"/>
      <c r="AJ1" s="4"/>
      <c r="AK1" s="4"/>
      <c r="AL1" s="4"/>
      <c r="AM1" s="4"/>
      <c r="AN1" s="4"/>
      <c r="AO1" s="4"/>
      <c r="AP1" s="8"/>
      <c r="AQ1" s="4"/>
      <c r="AR1" s="4"/>
      <c r="AS1" s="4"/>
      <c r="AT1" s="4"/>
      <c r="AU1" s="4"/>
      <c r="AV1" s="8"/>
      <c r="AW1" s="4"/>
      <c r="AX1" s="4"/>
      <c r="AY1" s="4"/>
      <c r="AZ1" s="4"/>
      <c r="BA1" s="4"/>
      <c r="BB1" s="4"/>
      <c r="BC1" s="4"/>
      <c r="BD1" s="4"/>
      <c r="BE1" s="4"/>
      <c r="BF1" s="4"/>
      <c r="BG1" s="4"/>
      <c r="BH1" s="4"/>
      <c r="BI1" s="4"/>
      <c r="BJ1" s="4"/>
      <c r="BK1" s="4"/>
      <c r="BL1" s="4"/>
      <c r="BM1" s="9"/>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8"/>
      <c r="CQ1" s="4"/>
      <c r="CR1" s="4"/>
      <c r="CS1" s="4"/>
      <c r="CT1" s="4"/>
      <c r="CU1" s="4"/>
      <c r="CV1" s="4"/>
      <c r="CW1" s="4"/>
      <c r="CX1" s="4"/>
      <c r="CY1" s="4"/>
      <c r="CZ1" s="4"/>
      <c r="DA1" s="4"/>
    </row>
    <row r="2" spans="1:105">
      <c r="A2" s="10" t="s">
        <v>11</v>
      </c>
      <c r="B2" s="4" t="str">
        <f>'7PSourceSummary'!D2</f>
        <v>Street and Roadway Lighting</v>
      </c>
      <c r="C2" s="4"/>
      <c r="D2" s="4"/>
      <c r="E2" s="4"/>
      <c r="F2" s="4"/>
      <c r="G2" s="4"/>
      <c r="H2" s="4"/>
      <c r="I2" s="5"/>
      <c r="J2" s="5"/>
      <c r="K2" s="5"/>
      <c r="L2" s="5"/>
      <c r="M2" s="5"/>
      <c r="N2" s="6"/>
      <c r="O2" s="6"/>
      <c r="P2" s="6"/>
      <c r="Q2" s="6"/>
      <c r="R2" s="6"/>
      <c r="S2" s="4"/>
      <c r="T2" s="4"/>
      <c r="U2" s="4"/>
      <c r="V2" s="6"/>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8"/>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05">
      <c r="A3" s="10" t="s">
        <v>12</v>
      </c>
      <c r="B3" s="11"/>
      <c r="C3" s="10">
        <v>2012</v>
      </c>
      <c r="D3" s="11"/>
      <c r="E3" s="11"/>
      <c r="F3" s="11"/>
      <c r="G3" s="11"/>
      <c r="H3" s="11"/>
      <c r="I3" s="11"/>
      <c r="J3" s="12"/>
      <c r="K3" s="13"/>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3"/>
      <c r="CP3" s="13"/>
      <c r="CQ3" s="11"/>
      <c r="CR3" s="11"/>
      <c r="CS3" s="11"/>
      <c r="CT3" s="11"/>
      <c r="CU3" s="11"/>
      <c r="CV3" s="11"/>
      <c r="CW3" s="11"/>
      <c r="CX3" s="11"/>
      <c r="CY3" s="11"/>
      <c r="CZ3" s="11"/>
      <c r="DA3" s="11"/>
    </row>
    <row r="4" spans="1:105" ht="38.25">
      <c r="A4" s="11"/>
      <c r="B4" s="14" t="s">
        <v>674</v>
      </c>
      <c r="C4" s="434" t="s">
        <v>675</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row>
    <row r="5" spans="1:105">
      <c r="A5" s="15">
        <v>1</v>
      </c>
      <c r="B5" s="15">
        <v>2</v>
      </c>
      <c r="C5" s="15">
        <v>3</v>
      </c>
      <c r="D5" s="15">
        <v>4</v>
      </c>
      <c r="E5" s="15">
        <v>5</v>
      </c>
      <c r="F5" s="15">
        <v>6</v>
      </c>
      <c r="G5" s="15">
        <v>7</v>
      </c>
      <c r="H5" s="15">
        <v>8</v>
      </c>
      <c r="I5" s="15">
        <v>9</v>
      </c>
      <c r="J5" s="15">
        <v>10</v>
      </c>
      <c r="K5" s="15">
        <v>11</v>
      </c>
      <c r="L5" s="15">
        <v>12</v>
      </c>
      <c r="M5" s="15">
        <v>13</v>
      </c>
      <c r="N5" s="15">
        <v>14</v>
      </c>
      <c r="O5" s="15">
        <v>15</v>
      </c>
      <c r="P5" s="15">
        <v>16</v>
      </c>
      <c r="Q5" s="15">
        <v>17</v>
      </c>
      <c r="R5" s="15">
        <v>18</v>
      </c>
      <c r="S5" s="15">
        <v>19</v>
      </c>
      <c r="T5" s="15">
        <v>20</v>
      </c>
      <c r="U5" s="15">
        <v>21</v>
      </c>
      <c r="V5" s="15">
        <v>22</v>
      </c>
      <c r="W5" s="15">
        <v>23</v>
      </c>
      <c r="X5" s="15">
        <v>24</v>
      </c>
      <c r="Y5" s="15">
        <v>25</v>
      </c>
      <c r="Z5" s="15">
        <v>26</v>
      </c>
      <c r="AA5" s="15">
        <v>27</v>
      </c>
      <c r="AB5" s="15">
        <v>28</v>
      </c>
      <c r="AC5" s="15">
        <v>29</v>
      </c>
      <c r="AD5" s="15">
        <v>30</v>
      </c>
      <c r="AE5" s="15">
        <v>31</v>
      </c>
      <c r="AF5" s="15">
        <v>32</v>
      </c>
      <c r="AG5" s="15">
        <v>33</v>
      </c>
      <c r="AH5" s="15">
        <v>34</v>
      </c>
      <c r="AI5" s="15">
        <v>35</v>
      </c>
      <c r="AJ5" s="15">
        <v>36</v>
      </c>
      <c r="AK5" s="15">
        <v>37</v>
      </c>
      <c r="AL5" s="15">
        <v>38</v>
      </c>
      <c r="AM5" s="15">
        <v>39</v>
      </c>
      <c r="AN5" s="15">
        <v>40</v>
      </c>
      <c r="AO5" s="15">
        <v>41</v>
      </c>
      <c r="AP5" s="15">
        <v>42</v>
      </c>
      <c r="AQ5" s="15">
        <v>43</v>
      </c>
      <c r="AR5" s="15">
        <v>44</v>
      </c>
      <c r="AS5" s="15">
        <v>45</v>
      </c>
      <c r="AT5" s="15">
        <v>46</v>
      </c>
      <c r="AU5" s="15">
        <v>47</v>
      </c>
      <c r="AV5" s="15">
        <v>48</v>
      </c>
      <c r="AW5" s="15">
        <v>49</v>
      </c>
      <c r="AX5" s="15">
        <v>50</v>
      </c>
      <c r="AY5" s="15">
        <v>51</v>
      </c>
      <c r="AZ5" s="15">
        <v>52</v>
      </c>
      <c r="BA5" s="15">
        <v>53</v>
      </c>
      <c r="BB5" s="15">
        <v>54</v>
      </c>
      <c r="BC5" s="15">
        <v>55</v>
      </c>
      <c r="BD5" s="15">
        <v>56</v>
      </c>
      <c r="BE5" s="15">
        <v>57</v>
      </c>
      <c r="BF5" s="15">
        <v>58</v>
      </c>
      <c r="BG5" s="15">
        <v>59</v>
      </c>
      <c r="BH5" s="15">
        <v>60</v>
      </c>
      <c r="BI5" s="15">
        <v>61</v>
      </c>
      <c r="BJ5" s="15">
        <v>62</v>
      </c>
      <c r="BK5" s="15">
        <v>63</v>
      </c>
      <c r="BL5" s="15">
        <v>64</v>
      </c>
      <c r="BM5" s="15">
        <v>65</v>
      </c>
      <c r="BN5" s="15">
        <v>66</v>
      </c>
      <c r="BO5" s="15">
        <v>67</v>
      </c>
      <c r="BP5" s="15">
        <v>68</v>
      </c>
      <c r="BQ5" s="15">
        <v>69</v>
      </c>
      <c r="BR5" s="15">
        <v>70</v>
      </c>
      <c r="BS5" s="15">
        <v>71</v>
      </c>
      <c r="BT5" s="15">
        <v>72</v>
      </c>
      <c r="BU5" s="15">
        <v>73</v>
      </c>
      <c r="BV5" s="15">
        <v>74</v>
      </c>
      <c r="BW5" s="15">
        <v>75</v>
      </c>
      <c r="BX5" s="15">
        <v>76</v>
      </c>
      <c r="BY5" s="15">
        <v>77</v>
      </c>
      <c r="BZ5" s="15">
        <v>78</v>
      </c>
      <c r="CA5" s="15">
        <v>79</v>
      </c>
      <c r="CB5" s="15">
        <v>80</v>
      </c>
      <c r="CC5" s="15">
        <v>81</v>
      </c>
      <c r="CD5" s="15">
        <v>82</v>
      </c>
      <c r="CE5" s="15">
        <v>83</v>
      </c>
      <c r="CF5" s="15">
        <v>84</v>
      </c>
      <c r="CG5" s="15">
        <v>85</v>
      </c>
      <c r="CH5" s="15">
        <v>86</v>
      </c>
      <c r="CI5" s="15">
        <v>87</v>
      </c>
      <c r="CJ5" s="15">
        <v>88</v>
      </c>
      <c r="CK5" s="15">
        <v>89</v>
      </c>
      <c r="CL5" s="15">
        <v>90</v>
      </c>
      <c r="CM5" s="15">
        <v>91</v>
      </c>
      <c r="CN5" s="15">
        <v>92</v>
      </c>
      <c r="CO5" s="15">
        <v>93</v>
      </c>
      <c r="CP5" s="15">
        <v>94</v>
      </c>
      <c r="CQ5" s="15">
        <v>95</v>
      </c>
      <c r="CR5" s="15">
        <v>96</v>
      </c>
      <c r="CS5" s="15">
        <v>97</v>
      </c>
      <c r="CT5" s="15">
        <v>98</v>
      </c>
      <c r="CU5" s="15">
        <v>99</v>
      </c>
      <c r="CV5" s="15">
        <v>100</v>
      </c>
      <c r="CW5" s="15">
        <v>101</v>
      </c>
      <c r="CX5" s="15">
        <v>102</v>
      </c>
      <c r="CY5" s="15">
        <v>103</v>
      </c>
      <c r="CZ5" s="15">
        <v>104</v>
      </c>
      <c r="DA5" s="15">
        <v>105</v>
      </c>
    </row>
    <row r="6" spans="1:105">
      <c r="A6" s="16" t="s">
        <v>13</v>
      </c>
      <c r="B6" s="17"/>
      <c r="C6" s="17"/>
      <c r="D6" s="17"/>
      <c r="E6" s="17"/>
      <c r="F6" s="17"/>
      <c r="G6" s="18"/>
      <c r="H6" s="19"/>
      <c r="I6" s="445" t="s">
        <v>14</v>
      </c>
      <c r="J6" s="446"/>
      <c r="K6" s="446"/>
      <c r="L6" s="446"/>
      <c r="M6" s="446"/>
      <c r="N6" s="447"/>
      <c r="O6" s="448" t="s">
        <v>15</v>
      </c>
      <c r="P6" s="449"/>
      <c r="Q6" s="20" t="s">
        <v>16</v>
      </c>
      <c r="R6" s="450" t="s">
        <v>17</v>
      </c>
      <c r="S6" s="450"/>
      <c r="T6" s="450"/>
      <c r="U6" s="21"/>
      <c r="V6" s="21"/>
      <c r="W6" s="21"/>
      <c r="X6" s="22"/>
      <c r="Y6" s="23"/>
      <c r="Z6" s="21"/>
      <c r="AA6" s="21"/>
      <c r="AB6" s="21"/>
      <c r="AC6" s="21"/>
      <c r="AD6" s="21"/>
      <c r="AE6" s="24"/>
      <c r="AF6" s="24"/>
      <c r="AG6" s="24"/>
      <c r="AH6" s="24"/>
      <c r="AI6" s="24"/>
      <c r="AJ6" s="24"/>
      <c r="AK6" s="24"/>
      <c r="AL6" s="24"/>
      <c r="AM6" s="24"/>
      <c r="AN6" s="24"/>
      <c r="AO6" s="2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row>
    <row r="7" spans="1:105" ht="25.5">
      <c r="A7" s="25" t="s">
        <v>18</v>
      </c>
      <c r="B7" s="25" t="s">
        <v>19</v>
      </c>
      <c r="C7" s="25" t="s">
        <v>20</v>
      </c>
      <c r="D7" s="25" t="s">
        <v>21</v>
      </c>
      <c r="E7" s="25" t="s">
        <v>22</v>
      </c>
      <c r="F7" s="26" t="s">
        <v>23</v>
      </c>
      <c r="G7" s="25" t="s">
        <v>24</v>
      </c>
      <c r="H7" s="27" t="s">
        <v>25</v>
      </c>
      <c r="I7" s="27" t="s">
        <v>26</v>
      </c>
      <c r="J7" s="27" t="s">
        <v>27</v>
      </c>
      <c r="K7" s="27" t="s">
        <v>28</v>
      </c>
      <c r="L7" s="27" t="s">
        <v>29</v>
      </c>
      <c r="M7" s="27" t="s">
        <v>30</v>
      </c>
      <c r="N7" s="27" t="s">
        <v>31</v>
      </c>
      <c r="O7" s="28" t="s">
        <v>32</v>
      </c>
      <c r="P7" s="27" t="s">
        <v>24</v>
      </c>
      <c r="Q7" s="29" t="s">
        <v>33</v>
      </c>
      <c r="R7" s="30" t="s">
        <v>34</v>
      </c>
      <c r="S7" s="30" t="s">
        <v>35</v>
      </c>
      <c r="T7" s="30" t="s">
        <v>36</v>
      </c>
      <c r="U7" s="31"/>
      <c r="V7" s="31"/>
      <c r="W7" s="31"/>
      <c r="X7" s="31"/>
      <c r="Y7" s="31"/>
      <c r="Z7" s="31"/>
      <c r="AA7" s="31"/>
      <c r="AB7" s="31"/>
      <c r="AC7" s="31"/>
      <c r="AD7" s="31"/>
      <c r="AE7" s="24"/>
      <c r="AF7" s="24"/>
      <c r="AG7" s="24"/>
      <c r="AH7" s="24"/>
      <c r="AI7" s="24"/>
      <c r="AJ7" s="24"/>
      <c r="AK7" s="24"/>
      <c r="AL7" s="24"/>
      <c r="AM7" s="24"/>
      <c r="AN7" s="24"/>
      <c r="AO7" s="2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row>
    <row r="8" spans="1:105">
      <c r="A8" s="63" t="str">
        <f>LEFT(B8,22)&amp;" - New"</f>
        <v>Streetlight - HPS 100W - New</v>
      </c>
      <c r="B8" s="32" t="str">
        <f>MMap!F13</f>
        <v>Streetlight - HPS 100W - Group Relamp - to LED 42W - New</v>
      </c>
      <c r="C8" s="33">
        <f>MMap!G13*VLOOKUP(B8,MMap!$F$13:$AU$36,MATCH(M_Input!$C$4,MMap!$F$12:$AU$12,0),FALSE)</f>
        <v>84.924999999999983</v>
      </c>
      <c r="D8" s="63">
        <f>MMap!L13</f>
        <v>16.279069767441861</v>
      </c>
      <c r="E8" s="35">
        <f>MMap!H13*VLOOKUP(B8,MMap!$F$13:$AU$36,MATCH(M_Input!$C$4,MMap!$F$12:$AU$12,0),FALSE)</f>
        <v>-2.1479739877325699</v>
      </c>
      <c r="F8" s="35">
        <f>MMap!M13*VLOOKUP(B8,MMap!$F$13:$AU$36,MATCH(M_Input!$C$4,MMap!$F$12:$AU$12,0),FALSE)</f>
        <v>0</v>
      </c>
      <c r="G8" s="36" t="s">
        <v>526</v>
      </c>
      <c r="H8" s="34"/>
      <c r="I8" s="54">
        <f>MMap!N13*VLOOKUP(B8,MMap!$F$13:$AU$36,MATCH(M_Input!$C$4,MMap!$F$12:$AU$12,0),FALSE)</f>
        <v>-19.25</v>
      </c>
      <c r="J8" s="34">
        <f>MMap!O13</f>
        <v>5</v>
      </c>
      <c r="K8" s="34"/>
      <c r="L8" s="34"/>
      <c r="M8" s="34"/>
      <c r="N8" s="34"/>
      <c r="O8" s="11"/>
      <c r="P8" s="37"/>
      <c r="Q8" s="38" t="s">
        <v>871</v>
      </c>
      <c r="R8" s="34"/>
      <c r="S8" s="34"/>
      <c r="T8" s="34"/>
      <c r="U8" s="31"/>
      <c r="V8" s="31"/>
      <c r="W8" s="31"/>
      <c r="X8" s="31"/>
      <c r="Y8" s="31"/>
      <c r="Z8" s="31"/>
      <c r="AA8" s="31"/>
      <c r="AB8" s="31"/>
      <c r="AC8" s="31"/>
      <c r="AD8" s="31"/>
      <c r="AE8" s="24"/>
      <c r="AF8" s="24"/>
      <c r="AG8" s="24"/>
      <c r="AH8" s="24"/>
      <c r="AI8" s="24"/>
      <c r="AJ8" s="24"/>
      <c r="AK8" s="24"/>
      <c r="AL8" s="24"/>
      <c r="AM8" s="24"/>
      <c r="AN8" s="24"/>
      <c r="AO8" s="24"/>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row>
    <row r="9" spans="1:105">
      <c r="A9" s="63" t="str">
        <f t="shared" ref="A9:A19" si="0">LEFT(B9,22)&amp;" - New"</f>
        <v>Streetlight - HPS 100W - New</v>
      </c>
      <c r="B9" s="32" t="str">
        <f>MMap!F14</f>
        <v>Streetlight - HPS 100W - Tariff Relamp - to LED 42W - New</v>
      </c>
      <c r="C9" s="33">
        <f>MMap!G14*VLOOKUP(B9,MMap!$F$13:$AU$36,MATCH(M_Input!$C$4,MMap!$F$12:$AU$12,0),FALSE)</f>
        <v>84.924999999999983</v>
      </c>
      <c r="D9" s="63">
        <f>MMap!L14</f>
        <v>16.279069767441861</v>
      </c>
      <c r="E9" s="35">
        <f>MMap!H14*VLOOKUP(B9,MMap!$F$13:$AU$36,MATCH(M_Input!$C$4,MMap!$F$12:$AU$12,0),FALSE)</f>
        <v>-2.1479739877325699</v>
      </c>
      <c r="F9" s="35">
        <f>MMap!M14*VLOOKUP(B9,MMap!$F$13:$AU$36,MATCH(M_Input!$C$4,MMap!$F$12:$AU$12,0),FALSE)</f>
        <v>-14</v>
      </c>
      <c r="G9" s="36" t="s">
        <v>526</v>
      </c>
      <c r="H9" s="11"/>
      <c r="I9" s="54">
        <f>MMap!N14*VLOOKUP(B9,MMap!$F$13:$AU$36,MATCH(M_Input!$C$4,MMap!$F$12:$AU$12,0),FALSE)</f>
        <v>0</v>
      </c>
      <c r="J9" s="34">
        <f>MMap!O14</f>
        <v>0</v>
      </c>
      <c r="K9" s="11"/>
      <c r="L9" s="11"/>
      <c r="M9" s="11"/>
      <c r="N9" s="11"/>
      <c r="O9" s="11"/>
      <c r="P9" s="37"/>
      <c r="Q9" s="38" t="s">
        <v>871</v>
      </c>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row>
    <row r="10" spans="1:105">
      <c r="A10" s="63" t="str">
        <f t="shared" si="0"/>
        <v>Streetlight - HPS 100W - New</v>
      </c>
      <c r="B10" s="32" t="str">
        <f>MMap!F15</f>
        <v>Streetlight - HPS 100W - Group Relamp - to LED 58W - New</v>
      </c>
      <c r="C10" s="33">
        <f>MMap!G15*VLOOKUP(B10,MMap!$F$13:$AU$36,MATCH(M_Input!$C$4,MMap!$F$12:$AU$12,0),FALSE)</f>
        <v>67.724999999999994</v>
      </c>
      <c r="D10" s="63">
        <f>MMap!L15</f>
        <v>16.279069767441861</v>
      </c>
      <c r="E10" s="35">
        <f>MMap!H15*VLOOKUP(B10,MMap!$F$13:$AU$36,MATCH(M_Input!$C$4,MMap!$F$12:$AU$12,0),FALSE)</f>
        <v>-2.1479739877325699</v>
      </c>
      <c r="F10" s="35">
        <f>MMap!M15*VLOOKUP(B10,MMap!$F$13:$AU$36,MATCH(M_Input!$C$4,MMap!$F$12:$AU$12,0),FALSE)</f>
        <v>0</v>
      </c>
      <c r="G10" s="36" t="s">
        <v>526</v>
      </c>
      <c r="H10" s="11"/>
      <c r="I10" s="54">
        <f>MMap!N15*VLOOKUP(B10,MMap!$F$13:$AU$36,MATCH(M_Input!$C$4,MMap!$F$12:$AU$12,0),FALSE)</f>
        <v>-19.25</v>
      </c>
      <c r="J10" s="34">
        <f>MMap!O15</f>
        <v>5</v>
      </c>
      <c r="K10" s="11"/>
      <c r="L10" s="11"/>
      <c r="M10" s="11"/>
      <c r="N10" s="11"/>
      <c r="O10" s="11"/>
      <c r="P10" s="37"/>
      <c r="Q10" s="38" t="s">
        <v>871</v>
      </c>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row>
    <row r="11" spans="1:105">
      <c r="A11" s="63" t="str">
        <f t="shared" si="0"/>
        <v>Streetlight - HPS 100W - New</v>
      </c>
      <c r="B11" s="32" t="str">
        <f>MMap!F16</f>
        <v>Streetlight - HPS 100W - Tariff Relamp - to LED 58W - New</v>
      </c>
      <c r="C11" s="33">
        <f>MMap!G16*VLOOKUP(B11,MMap!$F$13:$AU$36,MATCH(M_Input!$C$4,MMap!$F$12:$AU$12,0),FALSE)</f>
        <v>67.724999999999994</v>
      </c>
      <c r="D11" s="63">
        <f>MMap!L16</f>
        <v>16.279069767441861</v>
      </c>
      <c r="E11" s="35">
        <f>MMap!H16*VLOOKUP(B11,MMap!$F$13:$AU$36,MATCH(M_Input!$C$4,MMap!$F$12:$AU$12,0),FALSE)</f>
        <v>-2.1479739877325699</v>
      </c>
      <c r="F11" s="35">
        <f>MMap!M16*VLOOKUP(B11,MMap!$F$13:$AU$36,MATCH(M_Input!$C$4,MMap!$F$12:$AU$12,0),FALSE)</f>
        <v>-14</v>
      </c>
      <c r="G11" s="36" t="s">
        <v>526</v>
      </c>
      <c r="H11" s="11"/>
      <c r="I11" s="54">
        <f>MMap!N16*VLOOKUP(B11,MMap!$F$13:$AU$36,MATCH(M_Input!$C$4,MMap!$F$12:$AU$12,0),FALSE)</f>
        <v>0</v>
      </c>
      <c r="J11" s="34">
        <f>MMap!O16</f>
        <v>0</v>
      </c>
      <c r="K11" s="11"/>
      <c r="L11" s="11"/>
      <c r="M11" s="11"/>
      <c r="N11" s="11"/>
      <c r="O11" s="11"/>
      <c r="P11" s="11"/>
      <c r="Q11" s="38" t="s">
        <v>871</v>
      </c>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row>
    <row r="12" spans="1:105">
      <c r="A12" s="63" t="str">
        <f t="shared" si="0"/>
        <v>Streetlight - MH 200W  - New</v>
      </c>
      <c r="B12" s="32" t="str">
        <f>MMap!F17</f>
        <v>Streetlight - MH 200W - Group Relamp - to LED 135W - New</v>
      </c>
      <c r="C12" s="33">
        <f>MMap!G17*VLOOKUP(B12,MMap!$F$13:$AU$36,MATCH(M_Input!$C$4,MMap!$F$12:$AU$12,0),FALSE)</f>
        <v>204.25</v>
      </c>
      <c r="D12" s="63">
        <f>MMap!L17</f>
        <v>16.279069767441861</v>
      </c>
      <c r="E12" s="35">
        <f>MMap!H17*VLOOKUP(B12,MMap!$F$13:$AU$36,MATCH(M_Input!$C$4,MMap!$F$12:$AU$12,0),FALSE)</f>
        <v>1.0057886064783617</v>
      </c>
      <c r="F12" s="35">
        <f>MMap!M17*VLOOKUP(B12,MMap!$F$13:$AU$36,MATCH(M_Input!$C$4,MMap!$F$12:$AU$12,0),FALSE)</f>
        <v>0</v>
      </c>
      <c r="G12" s="36" t="s">
        <v>526</v>
      </c>
      <c r="H12" s="11"/>
      <c r="I12" s="54">
        <f>MMap!N17*VLOOKUP(B12,MMap!$F$13:$AU$36,MATCH(M_Input!$C$4,MMap!$F$12:$AU$12,0),FALSE)</f>
        <v>-40</v>
      </c>
      <c r="J12" s="34">
        <f>MMap!O17</f>
        <v>5</v>
      </c>
      <c r="K12" s="11"/>
      <c r="L12" s="11"/>
      <c r="M12" s="11"/>
      <c r="N12" s="11"/>
      <c r="O12" s="11"/>
      <c r="P12" s="11"/>
      <c r="Q12" s="38" t="s">
        <v>871</v>
      </c>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row>
    <row r="13" spans="1:105">
      <c r="A13" s="63" t="str">
        <f t="shared" si="0"/>
        <v>Streetlight - MH 200W  - New</v>
      </c>
      <c r="B13" s="32" t="str">
        <f>MMap!F18</f>
        <v>Streetlight - MH 200W - Tariff Relamp - to LED 135W - New</v>
      </c>
      <c r="C13" s="33">
        <f>MMap!G18*VLOOKUP(B13,MMap!$F$13:$AU$36,MATCH(M_Input!$C$4,MMap!$F$12:$AU$12,0),FALSE)</f>
        <v>204.25</v>
      </c>
      <c r="D13" s="63">
        <f>MMap!L18</f>
        <v>16.279069767441861</v>
      </c>
      <c r="E13" s="35">
        <f>MMap!H18*VLOOKUP(B13,MMap!$F$13:$AU$36,MATCH(M_Input!$C$4,MMap!$F$12:$AU$12,0),FALSE)</f>
        <v>1.0057886064783617</v>
      </c>
      <c r="F13" s="35">
        <f>MMap!M18*VLOOKUP(B13,MMap!$F$13:$AU$36,MATCH(M_Input!$C$4,MMap!$F$12:$AU$12,0),FALSE)</f>
        <v>-28</v>
      </c>
      <c r="G13" s="36" t="s">
        <v>526</v>
      </c>
      <c r="H13" s="11"/>
      <c r="I13" s="54">
        <f>MMap!N18*VLOOKUP(B13,MMap!$F$13:$AU$36,MATCH(M_Input!$C$4,MMap!$F$12:$AU$12,0),FALSE)</f>
        <v>0</v>
      </c>
      <c r="J13" s="34">
        <f>MMap!O18</f>
        <v>0</v>
      </c>
      <c r="K13" s="11"/>
      <c r="L13" s="11"/>
      <c r="M13" s="11"/>
      <c r="N13" s="11"/>
      <c r="O13" s="11"/>
      <c r="P13" s="11"/>
      <c r="Q13" s="38" t="s">
        <v>871</v>
      </c>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row>
    <row r="14" spans="1:105">
      <c r="A14" s="63" t="str">
        <f t="shared" si="0"/>
        <v>Streetlight - HPS 250W - New</v>
      </c>
      <c r="B14" s="32" t="str">
        <f>MMap!F19</f>
        <v>Streetlight - HPS 250W - Group Relamp - to LED 135W - New</v>
      </c>
      <c r="C14" s="33">
        <f>MMap!G19*VLOOKUP(B14,MMap!$F$13:$AU$36,MATCH(M_Input!$C$4,MMap!$F$12:$AU$12,0),FALSE)</f>
        <v>333.25</v>
      </c>
      <c r="D14" s="63">
        <f>MMap!L19</f>
        <v>16.279069767441861</v>
      </c>
      <c r="E14" s="35">
        <f>MMap!H19*VLOOKUP(B14,MMap!$F$13:$AU$36,MATCH(M_Input!$C$4,MMap!$F$12:$AU$12,0),FALSE)</f>
        <v>1.0057886064783617</v>
      </c>
      <c r="F14" s="35">
        <f>MMap!M19*VLOOKUP(B14,MMap!$F$13:$AU$36,MATCH(M_Input!$C$4,MMap!$F$12:$AU$12,0),FALSE)</f>
        <v>0</v>
      </c>
      <c r="G14" s="36" t="s">
        <v>526</v>
      </c>
      <c r="I14" s="54">
        <f>MMap!N19*VLOOKUP(B14,MMap!$F$13:$AU$36,MATCH(M_Input!$C$4,MMap!$F$12:$AU$12,0),FALSE)</f>
        <v>-40</v>
      </c>
      <c r="J14" s="34">
        <f>MMap!O19</f>
        <v>5</v>
      </c>
      <c r="Q14" s="38" t="s">
        <v>871</v>
      </c>
    </row>
    <row r="15" spans="1:105">
      <c r="A15" s="63" t="str">
        <f t="shared" si="0"/>
        <v>Streetlight - HPS 250W - New</v>
      </c>
      <c r="B15" s="32" t="str">
        <f>MMap!F20</f>
        <v>Streetlight - HPS 250W - Tariff Relamp - to LED 135W - New</v>
      </c>
      <c r="C15" s="33">
        <f>MMap!G20*VLOOKUP(B15,MMap!$F$13:$AU$36,MATCH(M_Input!$C$4,MMap!$F$12:$AU$12,0),FALSE)</f>
        <v>333.25</v>
      </c>
      <c r="D15" s="63">
        <f>MMap!L20</f>
        <v>16.279069767441861</v>
      </c>
      <c r="E15" s="35">
        <f>MMap!H20*VLOOKUP(B15,MMap!$F$13:$AU$36,MATCH(M_Input!$C$4,MMap!$F$12:$AU$12,0),FALSE)</f>
        <v>1.0057886064783617</v>
      </c>
      <c r="F15" s="35">
        <f>MMap!M20*VLOOKUP(B15,MMap!$F$13:$AU$36,MATCH(M_Input!$C$4,MMap!$F$12:$AU$12,0),FALSE)</f>
        <v>-28</v>
      </c>
      <c r="G15" s="36" t="s">
        <v>526</v>
      </c>
      <c r="I15" s="54">
        <f>MMap!N20*VLOOKUP(B15,MMap!$F$13:$AU$36,MATCH(M_Input!$C$4,MMap!$F$12:$AU$12,0),FALSE)</f>
        <v>0</v>
      </c>
      <c r="J15" s="34">
        <f>MMap!O20</f>
        <v>0</v>
      </c>
      <c r="Q15" s="38" t="s">
        <v>871</v>
      </c>
    </row>
    <row r="16" spans="1:105">
      <c r="A16" s="63" t="str">
        <f t="shared" si="0"/>
        <v>Streetlight - MH 400W  - New</v>
      </c>
      <c r="B16" s="32" t="str">
        <f>MMap!F21</f>
        <v>Streetlight - MH 400W - Group Relamp - to LED 180W - New</v>
      </c>
      <c r="C16" s="33">
        <f>MMap!G21*VLOOKUP(B16,MMap!$F$13:$AU$36,MATCH(M_Input!$C$4,MMap!$F$12:$AU$12,0),FALSE)</f>
        <v>597.70000000000005</v>
      </c>
      <c r="D16" s="63">
        <f>MMap!L21</f>
        <v>16.279069767441861</v>
      </c>
      <c r="E16" s="35">
        <f>MMap!H21*VLOOKUP(B16,MMap!$F$13:$AU$36,MATCH(M_Input!$C$4,MMap!$F$12:$AU$12,0),FALSE)</f>
        <v>67.011577212956723</v>
      </c>
      <c r="F16" s="35">
        <f>MMap!M21*VLOOKUP(B16,MMap!$F$13:$AU$36,MATCH(M_Input!$C$4,MMap!$F$12:$AU$12,0),FALSE)</f>
        <v>0</v>
      </c>
      <c r="G16" s="36" t="s">
        <v>526</v>
      </c>
      <c r="I16" s="54">
        <f>MMap!N21*VLOOKUP(B16,MMap!$F$13:$AU$36,MATCH(M_Input!$C$4,MMap!$F$12:$AU$12,0),FALSE)</f>
        <v>-41.5</v>
      </c>
      <c r="J16" s="34">
        <f>MMap!O21</f>
        <v>4</v>
      </c>
      <c r="Q16" s="38" t="s">
        <v>871</v>
      </c>
    </row>
    <row r="17" spans="1:17">
      <c r="A17" s="63" t="str">
        <f t="shared" si="0"/>
        <v>Streetlight - MH 400W  - New</v>
      </c>
      <c r="B17" s="32" t="str">
        <f>MMap!F22</f>
        <v>Streetlight - MH 400W - Tariff Relamp - to LED 180W - New</v>
      </c>
      <c r="C17" s="33">
        <f>MMap!G22*VLOOKUP(B17,MMap!$F$13:$AU$36,MATCH(M_Input!$C$4,MMap!$F$12:$AU$12,0),FALSE)</f>
        <v>597.70000000000005</v>
      </c>
      <c r="D17" s="63">
        <f>MMap!L22</f>
        <v>16.279069767441861</v>
      </c>
      <c r="E17" s="35">
        <f>MMap!H22*VLOOKUP(B17,MMap!$F$13:$AU$36,MATCH(M_Input!$C$4,MMap!$F$12:$AU$12,0),FALSE)</f>
        <v>67.011577212956723</v>
      </c>
      <c r="F17" s="35">
        <f>MMap!M22*VLOOKUP(B17,MMap!$F$13:$AU$36,MATCH(M_Input!$C$4,MMap!$F$12:$AU$12,0),FALSE)</f>
        <v>-28</v>
      </c>
      <c r="G17" s="36" t="s">
        <v>526</v>
      </c>
      <c r="I17" s="54">
        <f>MMap!N22*VLOOKUP(B17,MMap!$F$13:$AU$36,MATCH(M_Input!$C$4,MMap!$F$12:$AU$12,0),FALSE)</f>
        <v>0</v>
      </c>
      <c r="J17" s="34">
        <f>MMap!O22</f>
        <v>0</v>
      </c>
      <c r="Q17" s="38" t="s">
        <v>871</v>
      </c>
    </row>
    <row r="18" spans="1:17">
      <c r="A18" s="63" t="str">
        <f t="shared" si="0"/>
        <v>Streetlight - MH 1000W - New</v>
      </c>
      <c r="B18" s="32" t="str">
        <f>MMap!F23</f>
        <v>Streetlight - MH 1000W - Group Relamp - to LED 421W - New</v>
      </c>
      <c r="C18" s="33">
        <f>MMap!G23*VLOOKUP(B18,MMap!$F$13:$AU$36,MATCH(M_Input!$C$4,MMap!$F$12:$AU$12,0),FALSE)</f>
        <v>1459.85</v>
      </c>
      <c r="D18" s="63">
        <f>MMap!L23</f>
        <v>16.279069767441861</v>
      </c>
      <c r="E18" s="35">
        <f>MMap!H23*VLOOKUP(B18,MMap!$F$13:$AU$36,MATCH(M_Input!$C$4,MMap!$F$12:$AU$12,0),FALSE)</f>
        <v>266.0347316388702</v>
      </c>
      <c r="F18" s="35">
        <f>MMap!M23*VLOOKUP(B18,MMap!$F$13:$AU$36,MATCH(M_Input!$C$4,MMap!$F$12:$AU$12,0),FALSE)</f>
        <v>0</v>
      </c>
      <c r="G18" s="36" t="s">
        <v>526</v>
      </c>
      <c r="I18" s="54">
        <f>MMap!N23*VLOOKUP(B18,MMap!$F$13:$AU$36,MATCH(M_Input!$C$4,MMap!$F$12:$AU$12,0),FALSE)</f>
        <v>-42.5</v>
      </c>
      <c r="J18" s="34">
        <f>MMap!O23</f>
        <v>4</v>
      </c>
      <c r="Q18" s="38" t="s">
        <v>871</v>
      </c>
    </row>
    <row r="19" spans="1:17">
      <c r="A19" s="63" t="str">
        <f t="shared" si="0"/>
        <v>Streetlight - MH 1000W - New</v>
      </c>
      <c r="B19" s="32" t="str">
        <f>MMap!F24</f>
        <v>Streetlight - MH 1000W - Tariff Relamp - to LED 421W - New</v>
      </c>
      <c r="C19" s="33">
        <f>MMap!G24*VLOOKUP(B19,MMap!$F$13:$AU$36,MATCH(M_Input!$C$4,MMap!$F$12:$AU$12,0),FALSE)</f>
        <v>1459.85</v>
      </c>
      <c r="D19" s="63">
        <f>MMap!L24</f>
        <v>16.279069767441861</v>
      </c>
      <c r="E19" s="35">
        <f>MMap!H24*VLOOKUP(B19,MMap!$F$13:$AU$36,MATCH(M_Input!$C$4,MMap!$F$12:$AU$12,0),FALSE)</f>
        <v>266.0347316388702</v>
      </c>
      <c r="F19" s="35">
        <f>MMap!M24*VLOOKUP(B19,MMap!$F$13:$AU$36,MATCH(M_Input!$C$4,MMap!$F$12:$AU$12,0),FALSE)</f>
        <v>-28</v>
      </c>
      <c r="G19" s="36" t="s">
        <v>526</v>
      </c>
      <c r="I19" s="54">
        <f>MMap!N24*VLOOKUP(B19,MMap!$F$13:$AU$36,MATCH(M_Input!$C$4,MMap!$F$12:$AU$12,0),FALSE)</f>
        <v>0</v>
      </c>
      <c r="J19" s="34">
        <f>MMap!O24</f>
        <v>0</v>
      </c>
      <c r="Q19" s="38" t="s">
        <v>871</v>
      </c>
    </row>
    <row r="20" spans="1:17">
      <c r="A20" s="63" t="str">
        <f>LEFT(B20,22)&amp;" - NR"</f>
        <v>Streetlight - HPS 100W - NR</v>
      </c>
      <c r="B20" s="32" t="str">
        <f>MMap!F25</f>
        <v>Streetlight - HPS 100W - Group Relamp - to LED 42W - NR</v>
      </c>
      <c r="C20" s="33">
        <f>MMap!G25*VLOOKUP(B20,MMap!$F$13:$AU$36,MATCH(M_Input!$C$4,MMap!$F$12:$AU$12,0),FALSE)</f>
        <v>84.924999999999983</v>
      </c>
      <c r="D20" s="63">
        <f>MMap!L25</f>
        <v>16.279069767441861</v>
      </c>
      <c r="E20" s="35">
        <f>MMap!H25*VLOOKUP(B20,MMap!$F$13:$AU$36,MATCH(M_Input!$C$4,MMap!$F$12:$AU$12,0),FALSE)</f>
        <v>28.35202601226743</v>
      </c>
      <c r="F20" s="35">
        <f>MMap!M25*VLOOKUP(B20,MMap!$F$13:$AU$36,MATCH(M_Input!$C$4,MMap!$F$12:$AU$12,0),FALSE)</f>
        <v>0</v>
      </c>
      <c r="G20" s="36" t="s">
        <v>526</v>
      </c>
      <c r="I20" s="54">
        <f>MMap!N25*VLOOKUP(B20,MMap!$F$13:$AU$36,MATCH(M_Input!$C$4,MMap!$F$12:$AU$12,0),FALSE)</f>
        <v>-19.25</v>
      </c>
      <c r="J20" s="34">
        <f>MMap!O25</f>
        <v>5</v>
      </c>
      <c r="Q20" s="38" t="s">
        <v>871</v>
      </c>
    </row>
    <row r="21" spans="1:17">
      <c r="A21" s="63" t="str">
        <f t="shared" ref="A21:A31" si="1">LEFT(B21,22)&amp;" - NR"</f>
        <v>Streetlight - HPS 100W - NR</v>
      </c>
      <c r="B21" s="32" t="str">
        <f>MMap!F26</f>
        <v>Streetlight - HPS 100W - Tariff Relamp - to LED 42W - NR</v>
      </c>
      <c r="C21" s="33">
        <f>MMap!G26*VLOOKUP(B21,MMap!$F$13:$AU$36,MATCH(M_Input!$C$4,MMap!$F$12:$AU$12,0),FALSE)</f>
        <v>84.924999999999983</v>
      </c>
      <c r="D21" s="63">
        <f>MMap!L26</f>
        <v>16.279069767441861</v>
      </c>
      <c r="E21" s="35">
        <f>MMap!H26*VLOOKUP(B21,MMap!$F$13:$AU$36,MATCH(M_Input!$C$4,MMap!$F$12:$AU$12,0),FALSE)</f>
        <v>28.35202601226743</v>
      </c>
      <c r="F21" s="35">
        <f>MMap!M26*VLOOKUP(B21,MMap!$F$13:$AU$36,MATCH(M_Input!$C$4,MMap!$F$12:$AU$12,0),FALSE)</f>
        <v>-14</v>
      </c>
      <c r="G21" s="36" t="s">
        <v>526</v>
      </c>
      <c r="I21" s="54">
        <f>MMap!N26*VLOOKUP(B21,MMap!$F$13:$AU$36,MATCH(M_Input!$C$4,MMap!$F$12:$AU$12,0),FALSE)</f>
        <v>0</v>
      </c>
      <c r="J21" s="34">
        <f>MMap!O26</f>
        <v>0</v>
      </c>
      <c r="Q21" s="38" t="s">
        <v>871</v>
      </c>
    </row>
    <row r="22" spans="1:17">
      <c r="A22" s="63" t="str">
        <f t="shared" si="1"/>
        <v>Streetlight - HPS 100W - NR</v>
      </c>
      <c r="B22" s="32" t="str">
        <f>MMap!F27</f>
        <v>Streetlight - HPS 100W - Group Relamp - to LED 58W - NR</v>
      </c>
      <c r="C22" s="33">
        <f>MMap!G27*VLOOKUP(B22,MMap!$F$13:$AU$36,MATCH(M_Input!$C$4,MMap!$F$12:$AU$12,0),FALSE)</f>
        <v>67.724999999999994</v>
      </c>
      <c r="D22" s="63">
        <f>MMap!L27</f>
        <v>16.279069767441861</v>
      </c>
      <c r="E22" s="35">
        <f>MMap!H27*VLOOKUP(B22,MMap!$F$13:$AU$36,MATCH(M_Input!$C$4,MMap!$F$12:$AU$12,0),FALSE)</f>
        <v>28.35202601226743</v>
      </c>
      <c r="F22" s="35">
        <f>MMap!M27*VLOOKUP(B22,MMap!$F$13:$AU$36,MATCH(M_Input!$C$4,MMap!$F$12:$AU$12,0),FALSE)</f>
        <v>0</v>
      </c>
      <c r="G22" s="36" t="s">
        <v>526</v>
      </c>
      <c r="I22" s="54">
        <f>MMap!N27*VLOOKUP(B22,MMap!$F$13:$AU$36,MATCH(M_Input!$C$4,MMap!$F$12:$AU$12,0),FALSE)</f>
        <v>-19.25</v>
      </c>
      <c r="J22" s="34">
        <f>MMap!O27</f>
        <v>5</v>
      </c>
      <c r="Q22" s="38" t="s">
        <v>871</v>
      </c>
    </row>
    <row r="23" spans="1:17">
      <c r="A23" s="63" t="str">
        <f t="shared" si="1"/>
        <v>Streetlight - HPS 100W - NR</v>
      </c>
      <c r="B23" s="32" t="str">
        <f>MMap!F28</f>
        <v>Streetlight - HPS 100W - Tariff Relamp - to LED 58W - NR</v>
      </c>
      <c r="C23" s="33">
        <f>MMap!G28*VLOOKUP(B23,MMap!$F$13:$AU$36,MATCH(M_Input!$C$4,MMap!$F$12:$AU$12,0),FALSE)</f>
        <v>67.724999999999994</v>
      </c>
      <c r="D23" s="63">
        <f>MMap!L28</f>
        <v>16.279069767441861</v>
      </c>
      <c r="E23" s="35">
        <f>MMap!H28*VLOOKUP(B23,MMap!$F$13:$AU$36,MATCH(M_Input!$C$4,MMap!$F$12:$AU$12,0),FALSE)</f>
        <v>28.35202601226743</v>
      </c>
      <c r="F23" s="35">
        <f>MMap!M28*VLOOKUP(B23,MMap!$F$13:$AU$36,MATCH(M_Input!$C$4,MMap!$F$12:$AU$12,0),FALSE)</f>
        <v>-14</v>
      </c>
      <c r="G23" s="36" t="s">
        <v>526</v>
      </c>
      <c r="I23" s="54">
        <f>MMap!N28*VLOOKUP(B23,MMap!$F$13:$AU$36,MATCH(M_Input!$C$4,MMap!$F$12:$AU$12,0),FALSE)</f>
        <v>0</v>
      </c>
      <c r="J23" s="34">
        <f>MMap!O28</f>
        <v>0</v>
      </c>
      <c r="Q23" s="38" t="s">
        <v>871</v>
      </c>
    </row>
    <row r="24" spans="1:17">
      <c r="A24" s="63" t="str">
        <f t="shared" si="1"/>
        <v>Streetlight - MH 200W  - NR</v>
      </c>
      <c r="B24" s="32" t="str">
        <f>MMap!F29</f>
        <v>Streetlight - MH 200W - Group Relamp - to LED 135W - NR</v>
      </c>
      <c r="C24" s="33">
        <f>MMap!G29*VLOOKUP(B24,MMap!$F$13:$AU$36,MATCH(M_Input!$C$4,MMap!$F$12:$AU$12,0),FALSE)</f>
        <v>204.25</v>
      </c>
      <c r="D24" s="63">
        <f>MMap!L29</f>
        <v>16.279069767441861</v>
      </c>
      <c r="E24" s="35">
        <f>MMap!H29*VLOOKUP(B24,MMap!$F$13:$AU$36,MATCH(M_Input!$C$4,MMap!$F$12:$AU$12,0),FALSE)</f>
        <v>81.005788606478362</v>
      </c>
      <c r="F24" s="35">
        <f>MMap!M29*VLOOKUP(B24,MMap!$F$13:$AU$36,MATCH(M_Input!$C$4,MMap!$F$12:$AU$12,0),FALSE)</f>
        <v>0</v>
      </c>
      <c r="G24" s="36" t="s">
        <v>526</v>
      </c>
      <c r="I24" s="54">
        <f>MMap!N29*VLOOKUP(B24,MMap!$F$13:$AU$36,MATCH(M_Input!$C$4,MMap!$F$12:$AU$12,0),FALSE)</f>
        <v>-40</v>
      </c>
      <c r="J24" s="34">
        <f>MMap!O29</f>
        <v>5</v>
      </c>
      <c r="Q24" s="38" t="s">
        <v>871</v>
      </c>
    </row>
    <row r="25" spans="1:17">
      <c r="A25" s="63" t="str">
        <f t="shared" si="1"/>
        <v>Streetlight - MH 200W  - NR</v>
      </c>
      <c r="B25" s="32" t="str">
        <f>MMap!F30</f>
        <v>Streetlight - MH 200W - Tariff Relamp - to LED 135W - NR</v>
      </c>
      <c r="C25" s="33">
        <f>MMap!G30*VLOOKUP(B25,MMap!$F$13:$AU$36,MATCH(M_Input!$C$4,MMap!$F$12:$AU$12,0),FALSE)</f>
        <v>204.25</v>
      </c>
      <c r="D25" s="63">
        <f>MMap!L30</f>
        <v>16.279069767441861</v>
      </c>
      <c r="E25" s="35">
        <f>MMap!H30*VLOOKUP(B25,MMap!$F$13:$AU$36,MATCH(M_Input!$C$4,MMap!$F$12:$AU$12,0),FALSE)</f>
        <v>81.005788606478362</v>
      </c>
      <c r="F25" s="35">
        <f>MMap!M30*VLOOKUP(B25,MMap!$F$13:$AU$36,MATCH(M_Input!$C$4,MMap!$F$12:$AU$12,0),FALSE)</f>
        <v>-28</v>
      </c>
      <c r="G25" s="36" t="s">
        <v>526</v>
      </c>
      <c r="I25" s="54">
        <f>MMap!N30*VLOOKUP(B25,MMap!$F$13:$AU$36,MATCH(M_Input!$C$4,MMap!$F$12:$AU$12,0),FALSE)</f>
        <v>0</v>
      </c>
      <c r="J25" s="34">
        <f>MMap!O30</f>
        <v>0</v>
      </c>
      <c r="Q25" s="38" t="s">
        <v>871</v>
      </c>
    </row>
    <row r="26" spans="1:17">
      <c r="A26" s="63" t="str">
        <f t="shared" si="1"/>
        <v>Streetlight - HPS 250W - NR</v>
      </c>
      <c r="B26" s="32" t="str">
        <f>MMap!F31</f>
        <v>Streetlight - HPS 250W - Group Relamp - to LED 135W - NR</v>
      </c>
      <c r="C26" s="33">
        <f>MMap!G31*VLOOKUP(B26,MMap!$F$13:$AU$36,MATCH(M_Input!$C$4,MMap!$F$12:$AU$12,0),FALSE)</f>
        <v>333.25</v>
      </c>
      <c r="D26" s="63">
        <f>MMap!L31</f>
        <v>16.279069767441861</v>
      </c>
      <c r="E26" s="35">
        <f>MMap!H31*VLOOKUP(B26,MMap!$F$13:$AU$36,MATCH(M_Input!$C$4,MMap!$F$12:$AU$12,0),FALSE)</f>
        <v>81.005788606478362</v>
      </c>
      <c r="F26" s="35">
        <f>MMap!M31*VLOOKUP(B26,MMap!$F$13:$AU$36,MATCH(M_Input!$C$4,MMap!$F$12:$AU$12,0),FALSE)</f>
        <v>0</v>
      </c>
      <c r="G26" s="36" t="s">
        <v>526</v>
      </c>
      <c r="I26" s="54">
        <f>MMap!N31*VLOOKUP(B26,MMap!$F$13:$AU$36,MATCH(M_Input!$C$4,MMap!$F$12:$AU$12,0),FALSE)</f>
        <v>-40</v>
      </c>
      <c r="J26" s="34">
        <f>MMap!O31</f>
        <v>5</v>
      </c>
      <c r="Q26" s="38" t="s">
        <v>871</v>
      </c>
    </row>
    <row r="27" spans="1:17">
      <c r="A27" s="63" t="str">
        <f t="shared" si="1"/>
        <v>Streetlight - HPS 250W - NR</v>
      </c>
      <c r="B27" s="32" t="str">
        <f>MMap!F32</f>
        <v>Streetlight - HPS 250W - Tariff Relamp - to LED 135W - NR</v>
      </c>
      <c r="C27" s="33">
        <f>MMap!G32*VLOOKUP(B27,MMap!$F$13:$AU$36,MATCH(M_Input!$C$4,MMap!$F$12:$AU$12,0),FALSE)</f>
        <v>333.25</v>
      </c>
      <c r="D27" s="63">
        <f>MMap!L32</f>
        <v>16.279069767441861</v>
      </c>
      <c r="E27" s="35">
        <f>MMap!H32*VLOOKUP(B27,MMap!$F$13:$AU$36,MATCH(M_Input!$C$4,MMap!$F$12:$AU$12,0),FALSE)</f>
        <v>81.005788606478362</v>
      </c>
      <c r="F27" s="35">
        <f>MMap!M32*VLOOKUP(B27,MMap!$F$13:$AU$36,MATCH(M_Input!$C$4,MMap!$F$12:$AU$12,0),FALSE)</f>
        <v>-28</v>
      </c>
      <c r="G27" s="36" t="s">
        <v>526</v>
      </c>
      <c r="I27" s="54">
        <f>MMap!N32*VLOOKUP(B27,MMap!$F$13:$AU$36,MATCH(M_Input!$C$4,MMap!$F$12:$AU$12,0),FALSE)</f>
        <v>0</v>
      </c>
      <c r="J27" s="34">
        <f>MMap!O32</f>
        <v>0</v>
      </c>
      <c r="Q27" s="38" t="s">
        <v>871</v>
      </c>
    </row>
    <row r="28" spans="1:17">
      <c r="A28" s="63" t="str">
        <f t="shared" si="1"/>
        <v>Streetlight - MH 400W  - NR</v>
      </c>
      <c r="B28" s="32" t="str">
        <f>MMap!F33</f>
        <v>Streetlight - MH 400W - Group Relamp - to LED 180W - NR</v>
      </c>
      <c r="C28" s="33">
        <f>MMap!G33*VLOOKUP(B28,MMap!$F$13:$AU$36,MATCH(M_Input!$C$4,MMap!$F$12:$AU$12,0),FALSE)</f>
        <v>597.70000000000005</v>
      </c>
      <c r="D28" s="63">
        <f>MMap!L33</f>
        <v>16.279069767441861</v>
      </c>
      <c r="E28" s="35">
        <f>MMap!H33*VLOOKUP(B28,MMap!$F$13:$AU$36,MATCH(M_Input!$C$4,MMap!$F$12:$AU$12,0),FALSE)</f>
        <v>162.01157721295672</v>
      </c>
      <c r="F28" s="35">
        <f>MMap!M33*VLOOKUP(B28,MMap!$F$13:$AU$36,MATCH(M_Input!$C$4,MMap!$F$12:$AU$12,0),FALSE)</f>
        <v>0</v>
      </c>
      <c r="G28" s="36" t="s">
        <v>526</v>
      </c>
      <c r="I28" s="54">
        <f>MMap!N33*VLOOKUP(B28,MMap!$F$13:$AU$36,MATCH(M_Input!$C$4,MMap!$F$12:$AU$12,0),FALSE)</f>
        <v>-41.5</v>
      </c>
      <c r="J28" s="34">
        <f>MMap!O33</f>
        <v>4</v>
      </c>
      <c r="Q28" s="38" t="s">
        <v>871</v>
      </c>
    </row>
    <row r="29" spans="1:17">
      <c r="A29" s="63" t="str">
        <f t="shared" si="1"/>
        <v>Streetlight - MH 400W  - NR</v>
      </c>
      <c r="B29" s="32" t="str">
        <f>MMap!F34</f>
        <v>Streetlight - MH 400W - Tariff Relamp - to LED 180W - NR</v>
      </c>
      <c r="C29" s="33">
        <f>MMap!G34*VLOOKUP(B29,MMap!$F$13:$AU$36,MATCH(M_Input!$C$4,MMap!$F$12:$AU$12,0),FALSE)</f>
        <v>597.70000000000005</v>
      </c>
      <c r="D29" s="63">
        <f>MMap!L34</f>
        <v>16.279069767441861</v>
      </c>
      <c r="E29" s="35">
        <f>MMap!H34*VLOOKUP(B29,MMap!$F$13:$AU$36,MATCH(M_Input!$C$4,MMap!$F$12:$AU$12,0),FALSE)</f>
        <v>162.01157721295672</v>
      </c>
      <c r="F29" s="35">
        <f>MMap!M34*VLOOKUP(B29,MMap!$F$13:$AU$36,MATCH(M_Input!$C$4,MMap!$F$12:$AU$12,0),FALSE)</f>
        <v>-28</v>
      </c>
      <c r="G29" s="36" t="s">
        <v>526</v>
      </c>
      <c r="I29" s="54">
        <f>MMap!N34*VLOOKUP(B29,MMap!$F$13:$AU$36,MATCH(M_Input!$C$4,MMap!$F$12:$AU$12,0),FALSE)</f>
        <v>0</v>
      </c>
      <c r="J29" s="34">
        <f>MMap!O34</f>
        <v>0</v>
      </c>
      <c r="Q29" s="38" t="s">
        <v>871</v>
      </c>
    </row>
    <row r="30" spans="1:17">
      <c r="A30" s="63" t="str">
        <f t="shared" si="1"/>
        <v>Streetlight - MH 1000W - NR</v>
      </c>
      <c r="B30" s="32" t="str">
        <f>MMap!F35</f>
        <v>Streetlight - MH 1000W - Group Relamp - to LED 421W - NR</v>
      </c>
      <c r="C30" s="33">
        <f>MMap!G35*VLOOKUP(B30,MMap!$F$13:$AU$36,MATCH(M_Input!$C$4,MMap!$F$12:$AU$12,0),FALSE)</f>
        <v>1459.85</v>
      </c>
      <c r="D30" s="63">
        <f>MMap!L35</f>
        <v>16.279069767441861</v>
      </c>
      <c r="E30" s="35">
        <f>MMap!H35*VLOOKUP(B30,MMap!$F$13:$AU$36,MATCH(M_Input!$C$4,MMap!$F$12:$AU$12,0),FALSE)</f>
        <v>486.0347316388702</v>
      </c>
      <c r="F30" s="35">
        <f>MMap!M35*VLOOKUP(B30,MMap!$F$13:$AU$36,MATCH(M_Input!$C$4,MMap!$F$12:$AU$12,0),FALSE)</f>
        <v>0</v>
      </c>
      <c r="G30" s="36" t="s">
        <v>526</v>
      </c>
      <c r="I30" s="54">
        <f>MMap!N35*VLOOKUP(B30,MMap!$F$13:$AU$36,MATCH(M_Input!$C$4,MMap!$F$12:$AU$12,0),FALSE)</f>
        <v>-42.5</v>
      </c>
      <c r="J30" s="34">
        <f>MMap!O35</f>
        <v>4</v>
      </c>
      <c r="Q30" s="38" t="s">
        <v>871</v>
      </c>
    </row>
    <row r="31" spans="1:17">
      <c r="A31" s="63" t="str">
        <f t="shared" si="1"/>
        <v>Streetlight - MH 1000W - NR</v>
      </c>
      <c r="B31" s="32" t="str">
        <f>MMap!F36</f>
        <v>Streetlight - MH 1000W - Tariff Relamp - to LED 421W - NR</v>
      </c>
      <c r="C31" s="33">
        <f>MMap!G36*VLOOKUP(B31,MMap!$F$13:$AU$36,MATCH(M_Input!$C$4,MMap!$F$12:$AU$12,0),FALSE)</f>
        <v>1459.85</v>
      </c>
      <c r="D31" s="63">
        <f>MMap!L36</f>
        <v>16.279069767441861</v>
      </c>
      <c r="E31" s="35">
        <f>MMap!H36*VLOOKUP(B31,MMap!$F$13:$AU$36,MATCH(M_Input!$C$4,MMap!$F$12:$AU$12,0),FALSE)</f>
        <v>486.0347316388702</v>
      </c>
      <c r="F31" s="35">
        <f>MMap!M36*VLOOKUP(B31,MMap!$F$13:$AU$36,MATCH(M_Input!$C$4,MMap!$F$12:$AU$12,0),FALSE)</f>
        <v>-28</v>
      </c>
      <c r="G31" s="36" t="s">
        <v>526</v>
      </c>
      <c r="I31" s="54">
        <f>MMap!N36*VLOOKUP(B31,MMap!$F$13:$AU$36,MATCH(M_Input!$C$4,MMap!$F$12:$AU$12,0),FALSE)</f>
        <v>0</v>
      </c>
      <c r="J31" s="34">
        <f>MMap!O36</f>
        <v>0</v>
      </c>
      <c r="Q31" s="38" t="s">
        <v>871</v>
      </c>
    </row>
    <row r="34" spans="1:13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row>
    <row r="35" spans="1:131">
      <c r="A35" s="366" t="s">
        <v>535</v>
      </c>
      <c r="B35" s="367"/>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row>
    <row r="36" spans="1:131">
      <c r="A36" s="11" t="s">
        <v>536</v>
      </c>
      <c r="B36" s="11" t="s">
        <v>537</v>
      </c>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row>
    <row r="37" spans="1:131">
      <c r="A37" s="11" t="s">
        <v>538</v>
      </c>
      <c r="B37" s="11" t="s">
        <v>1006</v>
      </c>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row>
    <row r="38" spans="1:13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row>
    <row r="39" spans="1:131" ht="13.5" thickBot="1">
      <c r="A39" s="368" t="s">
        <v>539</v>
      </c>
      <c r="B39" s="369"/>
      <c r="C39" s="369"/>
      <c r="D39" s="369"/>
      <c r="E39" s="369"/>
      <c r="F39" s="369"/>
      <c r="G39" s="369"/>
      <c r="H39" s="369"/>
      <c r="I39" s="369"/>
      <c r="J39" s="369"/>
      <c r="K39" s="369"/>
      <c r="L39" s="369"/>
      <c r="M39" s="369"/>
      <c r="N39" s="369"/>
      <c r="O39" s="369"/>
      <c r="P39" s="369"/>
      <c r="Q39" s="369"/>
      <c r="R39" s="369"/>
      <c r="S39" s="369"/>
      <c r="T39" s="369"/>
      <c r="U39" s="369"/>
      <c r="V39" s="369"/>
      <c r="W39" s="369"/>
      <c r="X39" s="369"/>
      <c r="Y39" s="369"/>
      <c r="Z39" s="369"/>
      <c r="AA39" s="369"/>
      <c r="AB39" s="369"/>
      <c r="AC39" s="369"/>
      <c r="AD39" s="369"/>
      <c r="AE39" s="369"/>
      <c r="AF39" s="369"/>
      <c r="AG39" s="369"/>
      <c r="AH39" s="369"/>
      <c r="AI39" s="370"/>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row>
    <row r="40" spans="1:131">
      <c r="A40" s="11"/>
      <c r="B40" s="150" t="s">
        <v>540</v>
      </c>
      <c r="C40" s="151"/>
      <c r="D40" s="151" t="s">
        <v>540</v>
      </c>
      <c r="E40" s="152"/>
      <c r="F40" s="11"/>
      <c r="G40" s="150" t="s">
        <v>541</v>
      </c>
      <c r="H40" s="151"/>
      <c r="I40" s="151"/>
      <c r="J40" s="151"/>
      <c r="K40" s="151"/>
      <c r="L40" s="151"/>
      <c r="M40" s="151"/>
      <c r="N40" s="151"/>
      <c r="O40" s="152"/>
      <c r="P40" s="11"/>
      <c r="Q40" s="150" t="s">
        <v>542</v>
      </c>
      <c r="R40" s="151"/>
      <c r="S40" s="151"/>
      <c r="T40" s="151"/>
      <c r="U40" s="152"/>
      <c r="V40" s="11"/>
      <c r="W40" s="150" t="s">
        <v>543</v>
      </c>
      <c r="X40" s="152"/>
      <c r="Y40" s="11"/>
      <c r="Z40" s="150" t="s">
        <v>544</v>
      </c>
      <c r="AA40" s="151"/>
      <c r="AB40" s="152"/>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row>
    <row r="41" spans="1:131">
      <c r="A41" s="11"/>
      <c r="B41" s="148" t="s">
        <v>545</v>
      </c>
      <c r="C41" s="115" t="s">
        <v>546</v>
      </c>
      <c r="D41" s="115" t="s">
        <v>545</v>
      </c>
      <c r="E41" s="149" t="s">
        <v>546</v>
      </c>
      <c r="F41" s="11"/>
      <c r="G41" s="148" t="s">
        <v>547</v>
      </c>
      <c r="H41" s="115" t="s">
        <v>1002</v>
      </c>
      <c r="I41" s="115"/>
      <c r="J41" s="115"/>
      <c r="K41" s="115" t="s">
        <v>548</v>
      </c>
      <c r="L41" s="115"/>
      <c r="M41" s="115"/>
      <c r="N41" s="115"/>
      <c r="O41" s="149"/>
      <c r="P41" s="11"/>
      <c r="Q41" s="148"/>
      <c r="R41" s="115" t="s">
        <v>327</v>
      </c>
      <c r="S41" s="115" t="s">
        <v>549</v>
      </c>
      <c r="T41" s="115" t="s">
        <v>550</v>
      </c>
      <c r="U41" s="149" t="s">
        <v>551</v>
      </c>
      <c r="V41" s="11"/>
      <c r="W41" s="148" t="s">
        <v>552</v>
      </c>
      <c r="X41" s="149">
        <v>20</v>
      </c>
      <c r="Y41" s="11"/>
      <c r="Z41" s="148"/>
      <c r="AA41" s="115" t="s">
        <v>546</v>
      </c>
      <c r="AB41" s="149" t="s">
        <v>553</v>
      </c>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row>
    <row r="42" spans="1:131">
      <c r="A42" s="11"/>
      <c r="B42" s="148" t="s">
        <v>554</v>
      </c>
      <c r="C42" s="115" t="s">
        <v>555</v>
      </c>
      <c r="D42" s="115" t="s">
        <v>554</v>
      </c>
      <c r="E42" s="149" t="s">
        <v>555</v>
      </c>
      <c r="F42" s="11"/>
      <c r="G42" s="148" t="s">
        <v>556</v>
      </c>
      <c r="H42" s="115" t="s">
        <v>557</v>
      </c>
      <c r="I42" s="115"/>
      <c r="J42" s="115"/>
      <c r="K42" s="115" t="s">
        <v>558</v>
      </c>
      <c r="L42" s="115"/>
      <c r="M42" s="115"/>
      <c r="N42" s="115"/>
      <c r="O42" s="149"/>
      <c r="P42" s="11"/>
      <c r="Q42" s="148" t="s">
        <v>559</v>
      </c>
      <c r="R42" s="115">
        <v>6.8012888465852586E-2</v>
      </c>
      <c r="S42" s="115">
        <v>4.387844424080023E-2</v>
      </c>
      <c r="T42" s="115">
        <v>5.3289007766645871E-2</v>
      </c>
      <c r="U42" s="149">
        <v>5.447903102274565E-2</v>
      </c>
      <c r="V42" s="11"/>
      <c r="W42" s="148" t="s">
        <v>560</v>
      </c>
      <c r="X42" s="149">
        <v>2016</v>
      </c>
      <c r="Y42" s="11"/>
      <c r="Z42" s="148" t="s">
        <v>561</v>
      </c>
      <c r="AA42" s="115">
        <v>0.03</v>
      </c>
      <c r="AB42" s="149">
        <v>0.01</v>
      </c>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row>
    <row r="43" spans="1:131">
      <c r="A43" s="11"/>
      <c r="B43" s="148" t="s">
        <v>562</v>
      </c>
      <c r="C43" s="115" t="s">
        <v>563</v>
      </c>
      <c r="D43" s="115" t="s">
        <v>562</v>
      </c>
      <c r="E43" s="149" t="s">
        <v>563</v>
      </c>
      <c r="F43" s="11"/>
      <c r="G43" s="148" t="s">
        <v>564</v>
      </c>
      <c r="H43" s="115" t="s">
        <v>565</v>
      </c>
      <c r="I43" s="115"/>
      <c r="J43" s="115"/>
      <c r="K43" s="115" t="s">
        <v>566</v>
      </c>
      <c r="L43" s="115"/>
      <c r="M43" s="115"/>
      <c r="N43" s="115"/>
      <c r="O43" s="149"/>
      <c r="P43" s="11"/>
      <c r="Q43" s="148" t="s">
        <v>567</v>
      </c>
      <c r="R43" s="115">
        <v>12</v>
      </c>
      <c r="S43" s="115">
        <v>12</v>
      </c>
      <c r="T43" s="115">
        <v>1</v>
      </c>
      <c r="U43" s="149">
        <v>1</v>
      </c>
      <c r="V43" s="11"/>
      <c r="W43" s="148" t="s">
        <v>568</v>
      </c>
      <c r="X43" s="149">
        <v>2016</v>
      </c>
      <c r="Y43" s="11"/>
      <c r="Z43" s="148" t="s">
        <v>569</v>
      </c>
      <c r="AA43" s="115">
        <v>26</v>
      </c>
      <c r="AB43" s="149">
        <v>0</v>
      </c>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row>
    <row r="44" spans="1:131" ht="13.5" thickBot="1">
      <c r="A44" s="11"/>
      <c r="B44" s="163" t="s">
        <v>570</v>
      </c>
      <c r="C44" s="371" t="s">
        <v>563</v>
      </c>
      <c r="D44" s="371" t="s">
        <v>570</v>
      </c>
      <c r="E44" s="372" t="s">
        <v>563</v>
      </c>
      <c r="F44" s="11"/>
      <c r="G44" s="148" t="s">
        <v>571</v>
      </c>
      <c r="H44" s="115" t="s">
        <v>572</v>
      </c>
      <c r="I44" s="115"/>
      <c r="J44" s="115"/>
      <c r="K44" s="115" t="s">
        <v>558</v>
      </c>
      <c r="L44" s="115"/>
      <c r="M44" s="115"/>
      <c r="N44" s="115"/>
      <c r="O44" s="149"/>
      <c r="P44" s="11"/>
      <c r="Q44" s="148"/>
      <c r="R44" s="115" t="s">
        <v>327</v>
      </c>
      <c r="S44" s="115" t="s">
        <v>549</v>
      </c>
      <c r="T44" s="115" t="s">
        <v>550</v>
      </c>
      <c r="U44" s="149" t="s">
        <v>551</v>
      </c>
      <c r="V44" s="11"/>
      <c r="W44" s="148" t="s">
        <v>573</v>
      </c>
      <c r="X44" s="149">
        <v>2012</v>
      </c>
      <c r="Y44" s="11"/>
      <c r="Z44" s="148" t="s">
        <v>574</v>
      </c>
      <c r="AA44" s="115">
        <v>0.9</v>
      </c>
      <c r="AB44" s="149" t="s">
        <v>575</v>
      </c>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row>
    <row r="45" spans="1:131">
      <c r="A45" s="11"/>
      <c r="B45" s="11"/>
      <c r="C45" s="11"/>
      <c r="D45" s="11"/>
      <c r="E45" s="11"/>
      <c r="F45" s="11"/>
      <c r="G45" s="148" t="s">
        <v>576</v>
      </c>
      <c r="H45" s="115" t="s">
        <v>565</v>
      </c>
      <c r="I45" s="115"/>
      <c r="J45" s="115"/>
      <c r="K45" s="115"/>
      <c r="L45" s="115"/>
      <c r="M45" s="115"/>
      <c r="N45" s="115"/>
      <c r="O45" s="149"/>
      <c r="P45" s="11"/>
      <c r="Q45" s="148" t="s">
        <v>577</v>
      </c>
      <c r="R45" s="115">
        <v>0.35</v>
      </c>
      <c r="S45" s="115">
        <v>0.19500000000000001</v>
      </c>
      <c r="T45" s="115">
        <v>4.8749999999999988E-2</v>
      </c>
      <c r="U45" s="149">
        <v>0.40625</v>
      </c>
      <c r="V45" s="11"/>
      <c r="W45" s="148" t="s">
        <v>578</v>
      </c>
      <c r="X45" s="149">
        <v>0.04</v>
      </c>
      <c r="Y45" s="11"/>
      <c r="Z45" s="148" t="s">
        <v>579</v>
      </c>
      <c r="AA45" s="115">
        <v>5.5E-2</v>
      </c>
      <c r="AB45" s="149">
        <v>0</v>
      </c>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row>
    <row r="46" spans="1:131">
      <c r="A46" s="11"/>
      <c r="B46" s="11" t="s">
        <v>580</v>
      </c>
      <c r="C46" s="11" t="s">
        <v>546</v>
      </c>
      <c r="D46" s="11"/>
      <c r="E46" s="11"/>
      <c r="F46" s="11"/>
      <c r="G46" s="148" t="s">
        <v>581</v>
      </c>
      <c r="H46" s="115" t="s">
        <v>582</v>
      </c>
      <c r="I46" s="115"/>
      <c r="J46" s="115"/>
      <c r="K46" s="115" t="s">
        <v>583</v>
      </c>
      <c r="L46" s="115"/>
      <c r="M46" s="115"/>
      <c r="N46" s="115"/>
      <c r="O46" s="149"/>
      <c r="P46" s="11"/>
      <c r="Q46" s="148" t="s">
        <v>584</v>
      </c>
      <c r="R46" s="115">
        <v>1</v>
      </c>
      <c r="S46" s="115">
        <v>0</v>
      </c>
      <c r="T46" s="115">
        <v>0</v>
      </c>
      <c r="U46" s="149">
        <v>0</v>
      </c>
      <c r="V46" s="11"/>
      <c r="W46" s="148" t="s">
        <v>585</v>
      </c>
      <c r="X46" s="149">
        <v>0</v>
      </c>
      <c r="Y46" s="11"/>
      <c r="Z46" s="148" t="s">
        <v>586</v>
      </c>
      <c r="AA46" s="115">
        <v>31</v>
      </c>
      <c r="AB46" s="149">
        <v>0</v>
      </c>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row>
    <row r="47" spans="1:131">
      <c r="A47" s="11"/>
      <c r="B47" s="11" t="s">
        <v>587</v>
      </c>
      <c r="C47" s="11" t="s">
        <v>588</v>
      </c>
      <c r="D47" s="11"/>
      <c r="E47" s="11"/>
      <c r="F47" s="11"/>
      <c r="G47" s="148" t="s">
        <v>589</v>
      </c>
      <c r="H47" s="115" t="s">
        <v>583</v>
      </c>
      <c r="I47" s="115"/>
      <c r="J47" s="115"/>
      <c r="K47" s="115" t="s">
        <v>590</v>
      </c>
      <c r="L47" s="115"/>
      <c r="M47" s="115"/>
      <c r="N47" s="115"/>
      <c r="O47" s="149"/>
      <c r="P47" s="11"/>
      <c r="Q47" s="148" t="s">
        <v>591</v>
      </c>
      <c r="R47" s="115">
        <v>1</v>
      </c>
      <c r="S47" s="115">
        <v>0</v>
      </c>
      <c r="T47" s="115">
        <v>0</v>
      </c>
      <c r="U47" s="149">
        <v>0</v>
      </c>
      <c r="V47" s="11"/>
      <c r="W47" s="148" t="s">
        <v>592</v>
      </c>
      <c r="X47" s="149">
        <v>0.2</v>
      </c>
      <c r="Y47" s="11"/>
      <c r="Z47" s="148" t="s">
        <v>593</v>
      </c>
      <c r="AA47" s="115">
        <v>0.7</v>
      </c>
      <c r="AB47" s="149" t="s">
        <v>575</v>
      </c>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row>
    <row r="48" spans="1:131">
      <c r="A48" s="11"/>
      <c r="B48" s="11" t="s">
        <v>594</v>
      </c>
      <c r="C48" s="11" t="s">
        <v>595</v>
      </c>
      <c r="D48" s="11"/>
      <c r="E48" s="11"/>
      <c r="F48" s="11"/>
      <c r="G48" s="148" t="s">
        <v>596</v>
      </c>
      <c r="H48" s="115" t="s">
        <v>590</v>
      </c>
      <c r="I48" s="115"/>
      <c r="J48" s="115"/>
      <c r="K48" s="115" t="s">
        <v>597</v>
      </c>
      <c r="L48" s="115"/>
      <c r="M48" s="115"/>
      <c r="N48" s="115"/>
      <c r="O48" s="149"/>
      <c r="P48" s="11"/>
      <c r="Q48" s="148" t="s">
        <v>598</v>
      </c>
      <c r="R48" s="115"/>
      <c r="S48" s="115">
        <v>0.3</v>
      </c>
      <c r="T48" s="115">
        <v>7.4999999999999983E-2</v>
      </c>
      <c r="U48" s="149">
        <v>0.625</v>
      </c>
      <c r="V48" s="11"/>
      <c r="W48" s="148" t="s">
        <v>599</v>
      </c>
      <c r="X48" s="149">
        <v>0.1</v>
      </c>
      <c r="Y48" s="11"/>
      <c r="Z48" s="148" t="s">
        <v>600</v>
      </c>
      <c r="AA48" s="115">
        <v>0</v>
      </c>
      <c r="AB48" s="149">
        <v>0</v>
      </c>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row>
    <row r="49" spans="1:131" ht="13.5" thickBot="1">
      <c r="A49" s="11"/>
      <c r="B49" s="11" t="s">
        <v>601</v>
      </c>
      <c r="C49" s="11" t="s">
        <v>602</v>
      </c>
      <c r="D49" s="11"/>
      <c r="E49" s="11"/>
      <c r="F49" s="11"/>
      <c r="G49" s="163" t="s">
        <v>603</v>
      </c>
      <c r="H49" s="371" t="s">
        <v>597</v>
      </c>
      <c r="I49" s="371"/>
      <c r="J49" s="371"/>
      <c r="K49" s="371"/>
      <c r="L49" s="371"/>
      <c r="M49" s="371"/>
      <c r="N49" s="371"/>
      <c r="O49" s="372"/>
      <c r="P49" s="11"/>
      <c r="Q49" s="163" t="s">
        <v>604</v>
      </c>
      <c r="R49" s="371"/>
      <c r="S49" s="371">
        <v>20</v>
      </c>
      <c r="T49" s="371"/>
      <c r="U49" s="372"/>
      <c r="V49" s="11"/>
      <c r="W49" s="163" t="s">
        <v>605</v>
      </c>
      <c r="X49" s="372">
        <v>2018</v>
      </c>
      <c r="Y49" s="11"/>
      <c r="Z49" s="163" t="s">
        <v>606</v>
      </c>
      <c r="AA49" s="371">
        <v>0</v>
      </c>
      <c r="AB49" s="372">
        <v>0</v>
      </c>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row>
    <row r="50" spans="1:13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row>
    <row r="51" spans="1:13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row>
    <row r="52" spans="1:13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row>
    <row r="53" spans="1:13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row>
    <row r="54" spans="1:13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row>
    <row r="55" spans="1:13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row>
    <row r="56" spans="1:13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row>
    <row r="57" spans="1:131" ht="13.5" thickBot="1">
      <c r="A57" s="368" t="s">
        <v>607</v>
      </c>
      <c r="B57" s="370"/>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row>
    <row r="58" spans="1:131" ht="26.25" thickBot="1">
      <c r="A58" s="373" t="s">
        <v>291</v>
      </c>
      <c r="B58" s="374"/>
      <c r="C58" s="375" t="s">
        <v>292</v>
      </c>
      <c r="D58" s="376"/>
      <c r="E58" s="376"/>
      <c r="F58" s="376"/>
      <c r="G58" s="376"/>
      <c r="H58" s="376"/>
      <c r="I58" s="376"/>
      <c r="J58" s="376"/>
      <c r="K58" s="377"/>
      <c r="L58" s="375" t="s">
        <v>102</v>
      </c>
      <c r="M58" s="376"/>
      <c r="N58" s="376"/>
      <c r="O58" s="376"/>
      <c r="P58" s="376"/>
      <c r="Q58" s="377"/>
      <c r="R58" s="375" t="s">
        <v>293</v>
      </c>
      <c r="S58" s="376"/>
      <c r="T58" s="376"/>
      <c r="U58" s="377"/>
      <c r="V58" s="375" t="s">
        <v>294</v>
      </c>
      <c r="W58" s="376"/>
      <c r="X58" s="376"/>
      <c r="Y58" s="377"/>
      <c r="Z58" s="375" t="s">
        <v>295</v>
      </c>
      <c r="AA58" s="376"/>
      <c r="AB58" s="376"/>
      <c r="AC58" s="377"/>
      <c r="AD58" s="375" t="s">
        <v>296</v>
      </c>
      <c r="AE58" s="376"/>
      <c r="AF58" s="376"/>
      <c r="AG58" s="377"/>
      <c r="AH58" s="375" t="s">
        <v>297</v>
      </c>
      <c r="AI58" s="376"/>
      <c r="AJ58" s="376"/>
      <c r="AK58" s="376"/>
      <c r="AL58" s="377"/>
      <c r="AM58" s="375" t="s">
        <v>298</v>
      </c>
      <c r="AN58" s="376"/>
      <c r="AO58" s="376"/>
      <c r="AP58" s="376"/>
      <c r="AQ58" s="376"/>
      <c r="AR58" s="376"/>
      <c r="AS58" s="377"/>
      <c r="AT58" s="375" t="s">
        <v>299</v>
      </c>
      <c r="AU58" s="376"/>
      <c r="AV58" s="376"/>
      <c r="AW58" s="376"/>
      <c r="AX58" s="376"/>
      <c r="AY58" s="376"/>
      <c r="AZ58" s="377"/>
      <c r="BA58" s="375" t="s">
        <v>300</v>
      </c>
      <c r="BB58" s="376"/>
      <c r="BC58" s="376"/>
      <c r="BD58" s="376"/>
      <c r="BE58" s="376"/>
      <c r="BF58" s="377"/>
      <c r="BG58" s="375" t="s">
        <v>301</v>
      </c>
      <c r="BH58" s="377"/>
      <c r="BI58" s="375" t="s">
        <v>302</v>
      </c>
      <c r="BJ58" s="376"/>
      <c r="BK58" s="376"/>
      <c r="BL58" s="376"/>
      <c r="BM58" s="377"/>
      <c r="BN58" s="375" t="s">
        <v>303</v>
      </c>
      <c r="BO58" s="376"/>
      <c r="BP58" s="376"/>
      <c r="BQ58" s="376"/>
      <c r="BR58" s="376"/>
      <c r="BS58" s="376"/>
      <c r="BT58" s="376"/>
      <c r="BU58" s="376"/>
      <c r="BV58" s="376"/>
      <c r="BW58" s="376"/>
      <c r="BX58" s="376"/>
      <c r="BY58" s="376"/>
      <c r="BZ58" s="376"/>
      <c r="CA58" s="376"/>
      <c r="CB58" s="376"/>
      <c r="CC58" s="377"/>
      <c r="CD58" s="375" t="s">
        <v>304</v>
      </c>
      <c r="CE58" s="377"/>
      <c r="CF58" s="375" t="s">
        <v>305</v>
      </c>
      <c r="CG58" s="376"/>
      <c r="CH58" s="376"/>
      <c r="CI58" s="376"/>
      <c r="CJ58" s="376"/>
      <c r="CK58" s="377"/>
      <c r="CL58" s="378"/>
      <c r="CM58" s="375" t="s">
        <v>15</v>
      </c>
      <c r="CN58" s="376"/>
      <c r="CO58" s="376"/>
      <c r="CP58" s="377"/>
      <c r="CQ58" s="375" t="s">
        <v>306</v>
      </c>
      <c r="CR58" s="376"/>
      <c r="CS58" s="376"/>
      <c r="CT58" s="376"/>
      <c r="CU58" s="377"/>
      <c r="CV58" s="375" t="s">
        <v>307</v>
      </c>
      <c r="CW58" s="377"/>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row>
    <row r="59" spans="1:131" ht="127.5">
      <c r="A59" s="379" t="s">
        <v>308</v>
      </c>
      <c r="B59" s="380" t="s">
        <v>309</v>
      </c>
      <c r="C59" s="381" t="s">
        <v>8</v>
      </c>
      <c r="D59" s="381" t="s">
        <v>310</v>
      </c>
      <c r="E59" s="381" t="s">
        <v>311</v>
      </c>
      <c r="F59" s="381" t="s">
        <v>312</v>
      </c>
      <c r="G59" s="381" t="s">
        <v>313</v>
      </c>
      <c r="H59" s="381" t="s">
        <v>314</v>
      </c>
      <c r="I59" s="381" t="s">
        <v>315</v>
      </c>
      <c r="J59" s="381" t="s">
        <v>316</v>
      </c>
      <c r="K59" s="381" t="s">
        <v>317</v>
      </c>
      <c r="L59" s="381" t="s">
        <v>318</v>
      </c>
      <c r="M59" s="381" t="s">
        <v>319</v>
      </c>
      <c r="N59" s="381" t="s">
        <v>320</v>
      </c>
      <c r="O59" s="381" t="s">
        <v>321</v>
      </c>
      <c r="P59" s="381" t="s">
        <v>322</v>
      </c>
      <c r="Q59" s="381" t="s">
        <v>323</v>
      </c>
      <c r="R59" s="381" t="s">
        <v>324</v>
      </c>
      <c r="S59" s="381" t="s">
        <v>325</v>
      </c>
      <c r="T59" s="381" t="s">
        <v>326</v>
      </c>
      <c r="U59" s="381" t="s">
        <v>327</v>
      </c>
      <c r="V59" s="381" t="s">
        <v>324</v>
      </c>
      <c r="W59" s="381" t="s">
        <v>325</v>
      </c>
      <c r="X59" s="381" t="s">
        <v>326</v>
      </c>
      <c r="Y59" s="381" t="s">
        <v>327</v>
      </c>
      <c r="Z59" s="381" t="s">
        <v>324</v>
      </c>
      <c r="AA59" s="381" t="s">
        <v>325</v>
      </c>
      <c r="AB59" s="381" t="s">
        <v>326</v>
      </c>
      <c r="AC59" s="381" t="s">
        <v>327</v>
      </c>
      <c r="AD59" s="381" t="s">
        <v>324</v>
      </c>
      <c r="AE59" s="381" t="s">
        <v>325</v>
      </c>
      <c r="AF59" s="381" t="s">
        <v>326</v>
      </c>
      <c r="AG59" s="381" t="s">
        <v>327</v>
      </c>
      <c r="AH59" s="381" t="s">
        <v>324</v>
      </c>
      <c r="AI59" s="381" t="s">
        <v>325</v>
      </c>
      <c r="AJ59" s="381" t="s">
        <v>326</v>
      </c>
      <c r="AK59" s="381" t="s">
        <v>327</v>
      </c>
      <c r="AL59" s="381" t="s">
        <v>156</v>
      </c>
      <c r="AM59" s="381" t="s">
        <v>328</v>
      </c>
      <c r="AN59" s="381" t="s">
        <v>329</v>
      </c>
      <c r="AO59" s="381" t="s">
        <v>330</v>
      </c>
      <c r="AP59" s="381" t="s">
        <v>331</v>
      </c>
      <c r="AQ59" s="381" t="s">
        <v>332</v>
      </c>
      <c r="AR59" s="381" t="s">
        <v>333</v>
      </c>
      <c r="AS59" s="381" t="s">
        <v>334</v>
      </c>
      <c r="AT59" s="381" t="s">
        <v>335</v>
      </c>
      <c r="AU59" s="381" t="s">
        <v>336</v>
      </c>
      <c r="AV59" s="381" t="s">
        <v>337</v>
      </c>
      <c r="AW59" s="381" t="s">
        <v>338</v>
      </c>
      <c r="AX59" s="381" t="s">
        <v>339</v>
      </c>
      <c r="AY59" s="381" t="s">
        <v>340</v>
      </c>
      <c r="AZ59" s="381" t="s">
        <v>341</v>
      </c>
      <c r="BA59" s="381" t="s">
        <v>342</v>
      </c>
      <c r="BB59" s="381" t="s">
        <v>343</v>
      </c>
      <c r="BC59" s="381" t="s">
        <v>344</v>
      </c>
      <c r="BD59" s="381" t="s">
        <v>345</v>
      </c>
      <c r="BE59" s="381" t="s">
        <v>346</v>
      </c>
      <c r="BF59" s="381" t="s">
        <v>347</v>
      </c>
      <c r="BG59" s="381" t="s">
        <v>348</v>
      </c>
      <c r="BH59" s="381" t="s">
        <v>349</v>
      </c>
      <c r="BI59" s="381" t="s">
        <v>350</v>
      </c>
      <c r="BJ59" s="381" t="s">
        <v>351</v>
      </c>
      <c r="BK59" s="381" t="s">
        <v>352</v>
      </c>
      <c r="BL59" s="381" t="s">
        <v>353</v>
      </c>
      <c r="BM59" s="381" t="s">
        <v>354</v>
      </c>
      <c r="BN59" s="381" t="s">
        <v>355</v>
      </c>
      <c r="BO59" s="381" t="s">
        <v>356</v>
      </c>
      <c r="BP59" s="381" t="s">
        <v>357</v>
      </c>
      <c r="BQ59" s="381" t="s">
        <v>358</v>
      </c>
      <c r="BR59" s="381" t="s">
        <v>359</v>
      </c>
      <c r="BS59" s="381" t="s">
        <v>360</v>
      </c>
      <c r="BT59" s="381" t="s">
        <v>361</v>
      </c>
      <c r="BU59" s="381" t="s">
        <v>362</v>
      </c>
      <c r="BV59" s="381" t="s">
        <v>363</v>
      </c>
      <c r="BW59" s="381" t="s">
        <v>364</v>
      </c>
      <c r="BX59" s="381" t="s">
        <v>365</v>
      </c>
      <c r="BY59" s="381" t="s">
        <v>366</v>
      </c>
      <c r="BZ59" s="381" t="s">
        <v>367</v>
      </c>
      <c r="CA59" s="381" t="s">
        <v>368</v>
      </c>
      <c r="CB59" s="381" t="s">
        <v>369</v>
      </c>
      <c r="CC59" s="381" t="s">
        <v>370</v>
      </c>
      <c r="CD59" s="381" t="s">
        <v>371</v>
      </c>
      <c r="CE59" s="381" t="s">
        <v>372</v>
      </c>
      <c r="CF59" s="381" t="s">
        <v>373</v>
      </c>
      <c r="CG59" s="381" t="s">
        <v>374</v>
      </c>
      <c r="CH59" s="381" t="s">
        <v>375</v>
      </c>
      <c r="CI59" s="381" t="s">
        <v>608</v>
      </c>
      <c r="CJ59" s="381" t="s">
        <v>609</v>
      </c>
      <c r="CK59" s="381" t="s">
        <v>610</v>
      </c>
      <c r="CL59" s="381"/>
      <c r="CM59" s="381" t="s">
        <v>376</v>
      </c>
      <c r="CN59" s="381" t="s">
        <v>377</v>
      </c>
      <c r="CO59" s="381" t="s">
        <v>378</v>
      </c>
      <c r="CP59" s="381" t="s">
        <v>379</v>
      </c>
      <c r="CQ59" s="381" t="s">
        <v>380</v>
      </c>
      <c r="CR59" s="381" t="s">
        <v>381</v>
      </c>
      <c r="CS59" s="381" t="s">
        <v>382</v>
      </c>
      <c r="CT59" s="381" t="s">
        <v>383</v>
      </c>
      <c r="CU59" s="381" t="s">
        <v>384</v>
      </c>
      <c r="CV59" s="381" t="s">
        <v>385</v>
      </c>
      <c r="CW59" s="382" t="s">
        <v>386</v>
      </c>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row>
    <row r="60" spans="1:131">
      <c r="A60" s="11" t="s">
        <v>664</v>
      </c>
      <c r="B60" s="11" t="s">
        <v>527</v>
      </c>
      <c r="C60" s="32">
        <v>16.279069767441861</v>
      </c>
      <c r="D60" s="32">
        <v>84.924999999999983</v>
      </c>
      <c r="E60" s="32">
        <v>0</v>
      </c>
      <c r="F60" s="32">
        <v>-2.1479739877325699</v>
      </c>
      <c r="G60" s="32">
        <v>0</v>
      </c>
      <c r="H60" s="32">
        <v>-37.995719934850655</v>
      </c>
      <c r="I60" s="32" t="s">
        <v>526</v>
      </c>
      <c r="J60" s="32"/>
      <c r="K60" s="32"/>
      <c r="L60" s="32">
        <v>96.087446841016259</v>
      </c>
      <c r="M60" s="32">
        <v>2.2459763698484694E-2</v>
      </c>
      <c r="N60" s="32">
        <v>2.130907371772741E-2</v>
      </c>
      <c r="O60" s="32">
        <v>0</v>
      </c>
      <c r="P60" s="32">
        <v>0</v>
      </c>
      <c r="Q60" s="32">
        <v>0</v>
      </c>
      <c r="R60" s="32">
        <v>-0.4283347068690555</v>
      </c>
      <c r="S60" s="32">
        <v>-0.10605175266784705</v>
      </c>
      <c r="T60" s="32">
        <v>-0.88476309736183789</v>
      </c>
      <c r="U60" s="32">
        <v>-1.2605324003115399</v>
      </c>
      <c r="V60" s="32" t="s">
        <v>611</v>
      </c>
      <c r="W60" s="32" t="s">
        <v>611</v>
      </c>
      <c r="X60" s="32" t="s">
        <v>611</v>
      </c>
      <c r="Y60" s="32" t="s">
        <v>611</v>
      </c>
      <c r="Z60" s="32">
        <v>0</v>
      </c>
      <c r="AA60" s="32">
        <v>0</v>
      </c>
      <c r="AB60" s="32">
        <v>0</v>
      </c>
      <c r="AC60" s="32">
        <v>0</v>
      </c>
      <c r="AD60" s="32">
        <v>0</v>
      </c>
      <c r="AE60" s="32">
        <v>0</v>
      </c>
      <c r="AF60" s="32">
        <v>0</v>
      </c>
      <c r="AG60" s="32">
        <v>-37.995719934850655</v>
      </c>
      <c r="AH60" s="32">
        <v>-0.4283347068690555</v>
      </c>
      <c r="AI60" s="32">
        <v>-0.10605175266784705</v>
      </c>
      <c r="AJ60" s="32">
        <v>-0.88476309736183789</v>
      </c>
      <c r="AK60" s="32">
        <v>-39.256252335162195</v>
      </c>
      <c r="AL60" s="32">
        <v>-40.675401892060933</v>
      </c>
      <c r="AM60" s="32">
        <v>46.085676927482965</v>
      </c>
      <c r="AN60" s="32">
        <v>7.9361234756248979</v>
      </c>
      <c r="AO60" s="32">
        <v>5.4021800403107862</v>
      </c>
      <c r="AP60" s="32">
        <v>0</v>
      </c>
      <c r="AQ60" s="32">
        <v>59.42398044341865</v>
      </c>
      <c r="AR60" s="32">
        <v>-0.4283347068690555</v>
      </c>
      <c r="AS60" s="383">
        <v>9999</v>
      </c>
      <c r="AT60" s="32">
        <v>46.085676927482965</v>
      </c>
      <c r="AU60" s="32">
        <v>8.9775152439195693</v>
      </c>
      <c r="AV60" s="32">
        <v>5.5063192171402537</v>
      </c>
      <c r="AW60" s="32">
        <v>0</v>
      </c>
      <c r="AX60" s="32">
        <v>60.569511388542786</v>
      </c>
      <c r="AY60" s="32">
        <v>-0.10605175266784705</v>
      </c>
      <c r="AZ60" s="383">
        <v>9999</v>
      </c>
      <c r="BA60" s="32">
        <v>46.085676927482965</v>
      </c>
      <c r="BB60" s="32">
        <v>16.913638719544466</v>
      </c>
      <c r="BC60" s="32">
        <v>6.2999315647027432</v>
      </c>
      <c r="BD60" s="32">
        <v>0</v>
      </c>
      <c r="BE60" s="32">
        <v>69.299247211730176</v>
      </c>
      <c r="BF60" s="32">
        <v>-0.53438645953690256</v>
      </c>
      <c r="BG60" s="32">
        <v>-18.185686906921656</v>
      </c>
      <c r="BH60" s="383">
        <v>9999</v>
      </c>
      <c r="BI60" s="32">
        <v>-0.32800972961716296</v>
      </c>
      <c r="BJ60" s="32">
        <v>-8.1212206622894662E-2</v>
      </c>
      <c r="BK60" s="32">
        <v>-0.67753301258779219</v>
      </c>
      <c r="BL60" s="32">
        <v>-30.061614218378235</v>
      </c>
      <c r="BM60" s="32">
        <v>-31.148369167206084</v>
      </c>
      <c r="BN60" s="32">
        <v>46.085676927482965</v>
      </c>
      <c r="BO60" s="32">
        <v>0</v>
      </c>
      <c r="BP60" s="32">
        <v>16.913638719544466</v>
      </c>
      <c r="BQ60" s="32">
        <v>0</v>
      </c>
      <c r="BR60" s="32">
        <v>0</v>
      </c>
      <c r="BS60" s="32">
        <v>0</v>
      </c>
      <c r="BT60" s="32">
        <v>0</v>
      </c>
      <c r="BU60" s="32">
        <v>0</v>
      </c>
      <c r="BV60" s="32">
        <v>0</v>
      </c>
      <c r="BW60" s="32">
        <v>6.2999315647027432</v>
      </c>
      <c r="BX60" s="32">
        <v>-2.6796819572102804</v>
      </c>
      <c r="BY60" s="32"/>
      <c r="BZ60" s="32">
        <v>0</v>
      </c>
      <c r="CA60" s="32">
        <v>-37.995719934850655</v>
      </c>
      <c r="CB60" s="32">
        <v>69.299247211730176</v>
      </c>
      <c r="CC60" s="32">
        <v>-40.675401892060933</v>
      </c>
      <c r="CD60" s="383">
        <v>9999</v>
      </c>
      <c r="CE60" s="32">
        <v>-48.924834137887686</v>
      </c>
      <c r="CF60" s="32">
        <v>0.91283496984754209</v>
      </c>
      <c r="CG60" s="32">
        <v>0</v>
      </c>
      <c r="CH60" s="32">
        <v>0.91283496984754209</v>
      </c>
      <c r="CI60" s="32">
        <v>4.5641537249482722E-2</v>
      </c>
      <c r="CJ60" s="32">
        <v>0</v>
      </c>
      <c r="CK60" s="32">
        <v>4.5641537249482722E-2</v>
      </c>
      <c r="CL60" s="32"/>
      <c r="CM60" s="32">
        <v>0</v>
      </c>
      <c r="CN60" s="32"/>
      <c r="CO60" s="32">
        <v>0</v>
      </c>
      <c r="CP60" s="32">
        <v>0</v>
      </c>
      <c r="CQ60" s="32">
        <v>0</v>
      </c>
      <c r="CR60" s="32">
        <v>0</v>
      </c>
      <c r="CS60" s="32">
        <v>0</v>
      </c>
      <c r="CT60" s="32">
        <v>0</v>
      </c>
      <c r="CU60" s="32">
        <v>-0.88476309736183789</v>
      </c>
      <c r="CV60" s="32">
        <v>9999</v>
      </c>
      <c r="CW60" s="383">
        <v>9999</v>
      </c>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row>
    <row r="61" spans="1:131">
      <c r="A61" s="11" t="s">
        <v>664</v>
      </c>
      <c r="B61" s="11" t="s">
        <v>528</v>
      </c>
      <c r="C61" s="32">
        <v>16.279069767441861</v>
      </c>
      <c r="D61" s="32">
        <v>84.924999999999983</v>
      </c>
      <c r="E61" s="32">
        <v>0</v>
      </c>
      <c r="F61" s="32">
        <v>-2.1479739877325699</v>
      </c>
      <c r="G61" s="32">
        <v>-14</v>
      </c>
      <c r="H61" s="32">
        <v>0</v>
      </c>
      <c r="I61" s="32" t="s">
        <v>526</v>
      </c>
      <c r="J61" s="32"/>
      <c r="K61" s="32"/>
      <c r="L61" s="32">
        <v>96.087446841016259</v>
      </c>
      <c r="M61" s="32">
        <v>2.2459763698484694E-2</v>
      </c>
      <c r="N61" s="32">
        <v>2.130907371772741E-2</v>
      </c>
      <c r="O61" s="32">
        <v>0</v>
      </c>
      <c r="P61" s="32">
        <v>0</v>
      </c>
      <c r="Q61" s="32">
        <v>0</v>
      </c>
      <c r="R61" s="32">
        <v>-0.4283347068690555</v>
      </c>
      <c r="S61" s="32">
        <v>-0.10605175266784705</v>
      </c>
      <c r="T61" s="32">
        <v>-0.88476309736183789</v>
      </c>
      <c r="U61" s="32">
        <v>-1.2605324003115399</v>
      </c>
      <c r="V61" s="32" t="s">
        <v>611</v>
      </c>
      <c r="W61" s="32" t="s">
        <v>611</v>
      </c>
      <c r="X61" s="32" t="s">
        <v>611</v>
      </c>
      <c r="Y61" s="32" t="s">
        <v>611</v>
      </c>
      <c r="Z61" s="32">
        <v>0</v>
      </c>
      <c r="AA61" s="32">
        <v>0</v>
      </c>
      <c r="AB61" s="32">
        <v>0</v>
      </c>
      <c r="AC61" s="32">
        <v>-190.26456882954764</v>
      </c>
      <c r="AD61" s="32">
        <v>0</v>
      </c>
      <c r="AE61" s="32">
        <v>0</v>
      </c>
      <c r="AF61" s="32">
        <v>0</v>
      </c>
      <c r="AG61" s="32">
        <v>0</v>
      </c>
      <c r="AH61" s="32">
        <v>-0.4283347068690555</v>
      </c>
      <c r="AI61" s="32">
        <v>-0.10605175266784705</v>
      </c>
      <c r="AJ61" s="32">
        <v>-0.88476309736183789</v>
      </c>
      <c r="AK61" s="32">
        <v>-191.52510122985919</v>
      </c>
      <c r="AL61" s="32">
        <v>-192.94425078675792</v>
      </c>
      <c r="AM61" s="32">
        <v>46.085676927482965</v>
      </c>
      <c r="AN61" s="32">
        <v>7.9361234756248979</v>
      </c>
      <c r="AO61" s="32">
        <v>5.4021800403107862</v>
      </c>
      <c r="AP61" s="32">
        <v>0</v>
      </c>
      <c r="AQ61" s="32">
        <v>59.42398044341865</v>
      </c>
      <c r="AR61" s="32">
        <v>-0.4283347068690555</v>
      </c>
      <c r="AS61" s="383">
        <v>9999</v>
      </c>
      <c r="AT61" s="32">
        <v>46.085676927482965</v>
      </c>
      <c r="AU61" s="32">
        <v>8.9775152439195693</v>
      </c>
      <c r="AV61" s="32">
        <v>5.5063192171402537</v>
      </c>
      <c r="AW61" s="32">
        <v>0</v>
      </c>
      <c r="AX61" s="32">
        <v>60.569511388542786</v>
      </c>
      <c r="AY61" s="32">
        <v>-0.10605175266784705</v>
      </c>
      <c r="AZ61" s="383">
        <v>9999</v>
      </c>
      <c r="BA61" s="32">
        <v>46.085676927482965</v>
      </c>
      <c r="BB61" s="32">
        <v>16.913638719544466</v>
      </c>
      <c r="BC61" s="32">
        <v>6.2999315647027432</v>
      </c>
      <c r="BD61" s="32">
        <v>0</v>
      </c>
      <c r="BE61" s="32">
        <v>69.299247211730176</v>
      </c>
      <c r="BF61" s="32">
        <v>-0.53438645953690256</v>
      </c>
      <c r="BG61" s="32">
        <v>-18.185686906921656</v>
      </c>
      <c r="BH61" s="383">
        <v>9999</v>
      </c>
      <c r="BI61" s="32">
        <v>-0.32800972961716296</v>
      </c>
      <c r="BJ61" s="32">
        <v>-8.1212206622894662E-2</v>
      </c>
      <c r="BK61" s="32">
        <v>-0.67753301258779219</v>
      </c>
      <c r="BL61" s="32">
        <v>-146.66590323373205</v>
      </c>
      <c r="BM61" s="32">
        <v>-147.75265818255988</v>
      </c>
      <c r="BN61" s="32">
        <v>46.085676927482965</v>
      </c>
      <c r="BO61" s="32">
        <v>0</v>
      </c>
      <c r="BP61" s="32">
        <v>16.913638719544466</v>
      </c>
      <c r="BQ61" s="32">
        <v>0</v>
      </c>
      <c r="BR61" s="32">
        <v>0</v>
      </c>
      <c r="BS61" s="32">
        <v>0</v>
      </c>
      <c r="BT61" s="32">
        <v>0</v>
      </c>
      <c r="BU61" s="32">
        <v>0</v>
      </c>
      <c r="BV61" s="32">
        <v>0</v>
      </c>
      <c r="BW61" s="32">
        <v>6.2999315647027432</v>
      </c>
      <c r="BX61" s="32">
        <v>-2.6796819572102804</v>
      </c>
      <c r="BY61" s="32"/>
      <c r="BZ61" s="32">
        <v>-190.26456882954764</v>
      </c>
      <c r="CA61" s="32">
        <v>0</v>
      </c>
      <c r="CB61" s="32">
        <v>69.299247211730176</v>
      </c>
      <c r="CC61" s="32">
        <v>-192.94425078675792</v>
      </c>
      <c r="CD61" s="383">
        <v>9999</v>
      </c>
      <c r="CE61" s="32">
        <v>-165.52912315324153</v>
      </c>
      <c r="CF61" s="32">
        <v>0.91283496984754209</v>
      </c>
      <c r="CG61" s="32">
        <v>0</v>
      </c>
      <c r="CH61" s="32">
        <v>0.91283496984754209</v>
      </c>
      <c r="CI61" s="32">
        <v>4.5641537249482722E-2</v>
      </c>
      <c r="CJ61" s="32">
        <v>0</v>
      </c>
      <c r="CK61" s="32">
        <v>4.5641537249482722E-2</v>
      </c>
      <c r="CL61" s="32"/>
      <c r="CM61" s="32">
        <v>0</v>
      </c>
      <c r="CN61" s="32"/>
      <c r="CO61" s="32">
        <v>0</v>
      </c>
      <c r="CP61" s="32">
        <v>0</v>
      </c>
      <c r="CQ61" s="32">
        <v>0</v>
      </c>
      <c r="CR61" s="32">
        <v>0</v>
      </c>
      <c r="CS61" s="32">
        <v>0</v>
      </c>
      <c r="CT61" s="32">
        <v>0</v>
      </c>
      <c r="CU61" s="32">
        <v>-0.88476309736183789</v>
      </c>
      <c r="CV61" s="32">
        <v>9999</v>
      </c>
      <c r="CW61" s="383">
        <v>9999</v>
      </c>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row>
    <row r="62" spans="1:131">
      <c r="A62" s="11" t="s">
        <v>664</v>
      </c>
      <c r="B62" s="11" t="s">
        <v>529</v>
      </c>
      <c r="C62" s="32">
        <v>16.279069767441861</v>
      </c>
      <c r="D62" s="32">
        <v>67.724999999999994</v>
      </c>
      <c r="E62" s="32">
        <v>0</v>
      </c>
      <c r="F62" s="32">
        <v>-2.1479739877325699</v>
      </c>
      <c r="G62" s="32">
        <v>0</v>
      </c>
      <c r="H62" s="32">
        <v>-37.995719934850655</v>
      </c>
      <c r="I62" s="32" t="s">
        <v>526</v>
      </c>
      <c r="J62" s="32"/>
      <c r="K62" s="32"/>
      <c r="L62" s="32">
        <v>76.626698113721829</v>
      </c>
      <c r="M62" s="32">
        <v>1.791095079752577E-2</v>
      </c>
      <c r="N62" s="32">
        <v>1.6993311952111734E-2</v>
      </c>
      <c r="O62" s="32">
        <v>0</v>
      </c>
      <c r="P62" s="32">
        <v>0</v>
      </c>
      <c r="Q62" s="32">
        <v>0</v>
      </c>
      <c r="R62" s="32">
        <v>-0.4283347068690555</v>
      </c>
      <c r="S62" s="32">
        <v>-0.10605175266784705</v>
      </c>
      <c r="T62" s="32">
        <v>-0.88476309736183789</v>
      </c>
      <c r="U62" s="32">
        <v>-1.2605324003115399</v>
      </c>
      <c r="V62" s="32" t="s">
        <v>611</v>
      </c>
      <c r="W62" s="32" t="s">
        <v>611</v>
      </c>
      <c r="X62" s="32" t="s">
        <v>611</v>
      </c>
      <c r="Y62" s="32" t="s">
        <v>611</v>
      </c>
      <c r="Z62" s="32">
        <v>0</v>
      </c>
      <c r="AA62" s="32">
        <v>0</v>
      </c>
      <c r="AB62" s="32">
        <v>0</v>
      </c>
      <c r="AC62" s="32">
        <v>0</v>
      </c>
      <c r="AD62" s="32">
        <v>0</v>
      </c>
      <c r="AE62" s="32">
        <v>0</v>
      </c>
      <c r="AF62" s="32">
        <v>0</v>
      </c>
      <c r="AG62" s="32">
        <v>-37.995719934850655</v>
      </c>
      <c r="AH62" s="32">
        <v>-0.4283347068690555</v>
      </c>
      <c r="AI62" s="32">
        <v>-0.10605175266784705</v>
      </c>
      <c r="AJ62" s="32">
        <v>-0.88476309736183789</v>
      </c>
      <c r="AK62" s="32">
        <v>-39.256252335162195</v>
      </c>
      <c r="AL62" s="32">
        <v>-40.675401892060933</v>
      </c>
      <c r="AM62" s="32">
        <v>36.751868942169999</v>
      </c>
      <c r="AN62" s="32">
        <v>6.3288073286628945</v>
      </c>
      <c r="AO62" s="32">
        <v>4.3080676270832896</v>
      </c>
      <c r="AP62" s="32">
        <v>0</v>
      </c>
      <c r="AQ62" s="32">
        <v>47.388743897916186</v>
      </c>
      <c r="AR62" s="32">
        <v>-0.4283347068690555</v>
      </c>
      <c r="AS62" s="383">
        <v>9999</v>
      </c>
      <c r="AT62" s="32">
        <v>36.751868942169999</v>
      </c>
      <c r="AU62" s="32">
        <v>7.1592843084421878</v>
      </c>
      <c r="AV62" s="32">
        <v>4.3911153250612189</v>
      </c>
      <c r="AW62" s="32">
        <v>0</v>
      </c>
      <c r="AX62" s="32">
        <v>48.302268575673409</v>
      </c>
      <c r="AY62" s="32">
        <v>-0.10605175266784705</v>
      </c>
      <c r="AZ62" s="383">
        <v>9999</v>
      </c>
      <c r="BA62" s="32">
        <v>36.751868942169999</v>
      </c>
      <c r="BB62" s="32">
        <v>13.488091637105082</v>
      </c>
      <c r="BC62" s="32">
        <v>5.0239960579275085</v>
      </c>
      <c r="BD62" s="32">
        <v>0</v>
      </c>
      <c r="BE62" s="32">
        <v>55.263956637202597</v>
      </c>
      <c r="BF62" s="32">
        <v>-0.53438645953690256</v>
      </c>
      <c r="BG62" s="32">
        <v>-18.289616287554068</v>
      </c>
      <c r="BH62" s="383">
        <v>9999</v>
      </c>
      <c r="BI62" s="32">
        <v>-0.4113137879326329</v>
      </c>
      <c r="BJ62" s="32">
        <v>-0.1018375289398203</v>
      </c>
      <c r="BK62" s="32">
        <v>-0.84960488880056495</v>
      </c>
      <c r="BL62" s="32">
        <v>-37.696309892886994</v>
      </c>
      <c r="BM62" s="32">
        <v>-39.05906609856001</v>
      </c>
      <c r="BN62" s="32">
        <v>36.751868942169999</v>
      </c>
      <c r="BO62" s="32">
        <v>0</v>
      </c>
      <c r="BP62" s="32">
        <v>13.488091637105082</v>
      </c>
      <c r="BQ62" s="32">
        <v>0</v>
      </c>
      <c r="BR62" s="32">
        <v>0</v>
      </c>
      <c r="BS62" s="32">
        <v>0</v>
      </c>
      <c r="BT62" s="32">
        <v>0</v>
      </c>
      <c r="BU62" s="32">
        <v>0</v>
      </c>
      <c r="BV62" s="32">
        <v>0</v>
      </c>
      <c r="BW62" s="32">
        <v>5.0239960579275085</v>
      </c>
      <c r="BX62" s="32">
        <v>-2.6796819572102804</v>
      </c>
      <c r="BY62" s="32"/>
      <c r="BZ62" s="32">
        <v>0</v>
      </c>
      <c r="CA62" s="32">
        <v>-37.995719934850655</v>
      </c>
      <c r="CB62" s="32">
        <v>55.26395663720259</v>
      </c>
      <c r="CC62" s="32">
        <v>-40.675401892060933</v>
      </c>
      <c r="CD62" s="383">
        <v>9999</v>
      </c>
      <c r="CE62" s="32">
        <v>-56.835531069241625</v>
      </c>
      <c r="CF62" s="32">
        <v>0.72795700127082397</v>
      </c>
      <c r="CG62" s="32">
        <v>0</v>
      </c>
      <c r="CH62" s="32">
        <v>0.72795700127082397</v>
      </c>
      <c r="CI62" s="32">
        <v>3.6397681604017865E-2</v>
      </c>
      <c r="CJ62" s="32">
        <v>0</v>
      </c>
      <c r="CK62" s="32">
        <v>3.6397681604017865E-2</v>
      </c>
      <c r="CL62" s="32"/>
      <c r="CM62" s="32">
        <v>0</v>
      </c>
      <c r="CN62" s="32"/>
      <c r="CO62" s="32">
        <v>0</v>
      </c>
      <c r="CP62" s="32">
        <v>0</v>
      </c>
      <c r="CQ62" s="32">
        <v>0</v>
      </c>
      <c r="CR62" s="32">
        <v>0</v>
      </c>
      <c r="CS62" s="32">
        <v>0</v>
      </c>
      <c r="CT62" s="32">
        <v>0</v>
      </c>
      <c r="CU62" s="32">
        <v>-0.88476309736183789</v>
      </c>
      <c r="CV62" s="32">
        <v>9999</v>
      </c>
      <c r="CW62" s="383">
        <v>9999</v>
      </c>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row>
    <row r="63" spans="1:131">
      <c r="A63" s="11" t="s">
        <v>664</v>
      </c>
      <c r="B63" s="11" t="s">
        <v>530</v>
      </c>
      <c r="C63" s="32">
        <v>16.279069767441861</v>
      </c>
      <c r="D63" s="32">
        <v>67.724999999999994</v>
      </c>
      <c r="E63" s="32">
        <v>0</v>
      </c>
      <c r="F63" s="32">
        <v>-2.1479739877325699</v>
      </c>
      <c r="G63" s="32">
        <v>-14</v>
      </c>
      <c r="H63" s="32">
        <v>0</v>
      </c>
      <c r="I63" s="32" t="s">
        <v>526</v>
      </c>
      <c r="J63" s="32"/>
      <c r="K63" s="32"/>
      <c r="L63" s="32">
        <v>76.626698113721829</v>
      </c>
      <c r="M63" s="32">
        <v>1.791095079752577E-2</v>
      </c>
      <c r="N63" s="32">
        <v>1.6993311952111734E-2</v>
      </c>
      <c r="O63" s="32">
        <v>0</v>
      </c>
      <c r="P63" s="32">
        <v>0</v>
      </c>
      <c r="Q63" s="32">
        <v>0</v>
      </c>
      <c r="R63" s="32">
        <v>-0.4283347068690555</v>
      </c>
      <c r="S63" s="32">
        <v>-0.10605175266784705</v>
      </c>
      <c r="T63" s="32">
        <v>-0.88476309736183789</v>
      </c>
      <c r="U63" s="32">
        <v>-1.2605324003115399</v>
      </c>
      <c r="V63" s="32" t="s">
        <v>611</v>
      </c>
      <c r="W63" s="32" t="s">
        <v>611</v>
      </c>
      <c r="X63" s="32" t="s">
        <v>611</v>
      </c>
      <c r="Y63" s="32" t="s">
        <v>611</v>
      </c>
      <c r="Z63" s="32">
        <v>0</v>
      </c>
      <c r="AA63" s="32">
        <v>0</v>
      </c>
      <c r="AB63" s="32">
        <v>0</v>
      </c>
      <c r="AC63" s="32">
        <v>-190.26456882954764</v>
      </c>
      <c r="AD63" s="32">
        <v>0</v>
      </c>
      <c r="AE63" s="32">
        <v>0</v>
      </c>
      <c r="AF63" s="32">
        <v>0</v>
      </c>
      <c r="AG63" s="32">
        <v>0</v>
      </c>
      <c r="AH63" s="32">
        <v>-0.4283347068690555</v>
      </c>
      <c r="AI63" s="32">
        <v>-0.10605175266784705</v>
      </c>
      <c r="AJ63" s="32">
        <v>-0.88476309736183789</v>
      </c>
      <c r="AK63" s="32">
        <v>-191.52510122985919</v>
      </c>
      <c r="AL63" s="32">
        <v>-192.94425078675792</v>
      </c>
      <c r="AM63" s="32">
        <v>36.751868942169999</v>
      </c>
      <c r="AN63" s="32">
        <v>6.3288073286628945</v>
      </c>
      <c r="AO63" s="32">
        <v>4.3080676270832896</v>
      </c>
      <c r="AP63" s="32">
        <v>0</v>
      </c>
      <c r="AQ63" s="32">
        <v>47.388743897916186</v>
      </c>
      <c r="AR63" s="32">
        <v>-0.4283347068690555</v>
      </c>
      <c r="AS63" s="383">
        <v>9999</v>
      </c>
      <c r="AT63" s="32">
        <v>36.751868942169999</v>
      </c>
      <c r="AU63" s="32">
        <v>7.1592843084421878</v>
      </c>
      <c r="AV63" s="32">
        <v>4.3911153250612189</v>
      </c>
      <c r="AW63" s="32">
        <v>0</v>
      </c>
      <c r="AX63" s="32">
        <v>48.302268575673409</v>
      </c>
      <c r="AY63" s="32">
        <v>-0.10605175266784705</v>
      </c>
      <c r="AZ63" s="383">
        <v>9999</v>
      </c>
      <c r="BA63" s="32">
        <v>36.751868942169999</v>
      </c>
      <c r="BB63" s="32">
        <v>13.488091637105082</v>
      </c>
      <c r="BC63" s="32">
        <v>5.0239960579275085</v>
      </c>
      <c r="BD63" s="32">
        <v>0</v>
      </c>
      <c r="BE63" s="32">
        <v>55.263956637202597</v>
      </c>
      <c r="BF63" s="32">
        <v>-0.53438645953690256</v>
      </c>
      <c r="BG63" s="32">
        <v>-18.289616287554068</v>
      </c>
      <c r="BH63" s="383">
        <v>9999</v>
      </c>
      <c r="BI63" s="32">
        <v>-0.4113137879326329</v>
      </c>
      <c r="BJ63" s="32">
        <v>-0.1018375289398203</v>
      </c>
      <c r="BK63" s="32">
        <v>-0.84960488880056495</v>
      </c>
      <c r="BL63" s="32">
        <v>-183.91438659467988</v>
      </c>
      <c r="BM63" s="32">
        <v>-185.27714280035289</v>
      </c>
      <c r="BN63" s="32">
        <v>36.751868942169999</v>
      </c>
      <c r="BO63" s="32">
        <v>0</v>
      </c>
      <c r="BP63" s="32">
        <v>13.488091637105082</v>
      </c>
      <c r="BQ63" s="32">
        <v>0</v>
      </c>
      <c r="BR63" s="32">
        <v>0</v>
      </c>
      <c r="BS63" s="32">
        <v>0</v>
      </c>
      <c r="BT63" s="32">
        <v>0</v>
      </c>
      <c r="BU63" s="32">
        <v>0</v>
      </c>
      <c r="BV63" s="32">
        <v>0</v>
      </c>
      <c r="BW63" s="32">
        <v>5.0239960579275085</v>
      </c>
      <c r="BX63" s="32">
        <v>-2.6796819572102804</v>
      </c>
      <c r="BY63" s="32"/>
      <c r="BZ63" s="32">
        <v>-190.26456882954764</v>
      </c>
      <c r="CA63" s="32">
        <v>0</v>
      </c>
      <c r="CB63" s="32">
        <v>55.26395663720259</v>
      </c>
      <c r="CC63" s="32">
        <v>-192.94425078675792</v>
      </c>
      <c r="CD63" s="383">
        <v>9999</v>
      </c>
      <c r="CE63" s="32">
        <v>-203.05360777103448</v>
      </c>
      <c r="CF63" s="32">
        <v>0.72795700127082397</v>
      </c>
      <c r="CG63" s="32">
        <v>0</v>
      </c>
      <c r="CH63" s="32">
        <v>0.72795700127082397</v>
      </c>
      <c r="CI63" s="32">
        <v>3.6397681604017865E-2</v>
      </c>
      <c r="CJ63" s="32">
        <v>0</v>
      </c>
      <c r="CK63" s="32">
        <v>3.6397681604017865E-2</v>
      </c>
      <c r="CL63" s="32"/>
      <c r="CM63" s="32">
        <v>0</v>
      </c>
      <c r="CN63" s="32"/>
      <c r="CO63" s="32">
        <v>0</v>
      </c>
      <c r="CP63" s="32">
        <v>0</v>
      </c>
      <c r="CQ63" s="32">
        <v>0</v>
      </c>
      <c r="CR63" s="32">
        <v>0</v>
      </c>
      <c r="CS63" s="32">
        <v>0</v>
      </c>
      <c r="CT63" s="32">
        <v>0</v>
      </c>
      <c r="CU63" s="32">
        <v>-0.88476309736183789</v>
      </c>
      <c r="CV63" s="32">
        <v>9999</v>
      </c>
      <c r="CW63" s="383">
        <v>9999</v>
      </c>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row>
    <row r="64" spans="1:131">
      <c r="A64" s="11" t="s">
        <v>665</v>
      </c>
      <c r="B64" s="11" t="s">
        <v>840</v>
      </c>
      <c r="C64" s="32">
        <v>16.279069767441861</v>
      </c>
      <c r="D64" s="32">
        <v>204.25</v>
      </c>
      <c r="E64" s="32">
        <v>0</v>
      </c>
      <c r="F64" s="32">
        <v>1.0057886064783617</v>
      </c>
      <c r="G64" s="32">
        <v>0</v>
      </c>
      <c r="H64" s="32">
        <v>-78.952145319170185</v>
      </c>
      <c r="I64" s="32" t="s">
        <v>526</v>
      </c>
      <c r="J64" s="32"/>
      <c r="K64" s="32"/>
      <c r="L64" s="32">
        <v>231.09639113662143</v>
      </c>
      <c r="M64" s="32">
        <v>5.4017153198887245E-2</v>
      </c>
      <c r="N64" s="32">
        <v>5.1249670966686187E-2</v>
      </c>
      <c r="O64" s="32">
        <v>0</v>
      </c>
      <c r="P64" s="32">
        <v>0</v>
      </c>
      <c r="Q64" s="32">
        <v>0</v>
      </c>
      <c r="R64" s="32">
        <v>0.20056768396106978</v>
      </c>
      <c r="S64" s="32">
        <v>4.9658722656590201E-2</v>
      </c>
      <c r="T64" s="32">
        <v>0.4142902324894614</v>
      </c>
      <c r="U64" s="32">
        <v>0.59024417128463713</v>
      </c>
      <c r="V64" s="32" t="s">
        <v>611</v>
      </c>
      <c r="W64" s="32" t="s">
        <v>611</v>
      </c>
      <c r="X64" s="32" t="s">
        <v>611</v>
      </c>
      <c r="Y64" s="32" t="s">
        <v>611</v>
      </c>
      <c r="Z64" s="32">
        <v>0</v>
      </c>
      <c r="AA64" s="32">
        <v>0</v>
      </c>
      <c r="AB64" s="32">
        <v>0</v>
      </c>
      <c r="AC64" s="32">
        <v>0</v>
      </c>
      <c r="AD64" s="32">
        <v>0</v>
      </c>
      <c r="AE64" s="32">
        <v>0</v>
      </c>
      <c r="AF64" s="32">
        <v>0</v>
      </c>
      <c r="AG64" s="32">
        <v>-78.952145319170185</v>
      </c>
      <c r="AH64" s="32">
        <v>0.20056768396106978</v>
      </c>
      <c r="AI64" s="32">
        <v>4.9658722656590201E-2</v>
      </c>
      <c r="AJ64" s="32">
        <v>0.4142902324894614</v>
      </c>
      <c r="AK64" s="32">
        <v>-78.361901147885547</v>
      </c>
      <c r="AL64" s="32">
        <v>-77.697384508778427</v>
      </c>
      <c r="AM64" s="32">
        <v>110.83896982559205</v>
      </c>
      <c r="AN64" s="32">
        <v>19.086879245173812</v>
      </c>
      <c r="AO64" s="32">
        <v>12.992584907076587</v>
      </c>
      <c r="AP64" s="32">
        <v>0</v>
      </c>
      <c r="AQ64" s="32">
        <v>142.91843397784243</v>
      </c>
      <c r="AR64" s="32">
        <v>0.20056768396106978</v>
      </c>
      <c r="AS64" s="383">
        <v>712.56959822890974</v>
      </c>
      <c r="AT64" s="32">
        <v>110.83896982559205</v>
      </c>
      <c r="AU64" s="32">
        <v>21.591492358793907</v>
      </c>
      <c r="AV64" s="32">
        <v>13.243046218438597</v>
      </c>
      <c r="AW64" s="32">
        <v>0</v>
      </c>
      <c r="AX64" s="32">
        <v>145.67350840282455</v>
      </c>
      <c r="AY64" s="32">
        <v>4.9658722656590201E-2</v>
      </c>
      <c r="AZ64" s="383">
        <v>2933.4928610672237</v>
      </c>
      <c r="BA64" s="32">
        <v>110.83896982559205</v>
      </c>
      <c r="BB64" s="32">
        <v>40.678371603967719</v>
      </c>
      <c r="BC64" s="32">
        <v>15.151734142955977</v>
      </c>
      <c r="BD64" s="32">
        <v>0</v>
      </c>
      <c r="BE64" s="32">
        <v>166.66907557251574</v>
      </c>
      <c r="BF64" s="32">
        <v>0.25022640661765999</v>
      </c>
      <c r="BG64" s="32">
        <v>-17.696792168839856</v>
      </c>
      <c r="BH64" s="383">
        <v>666.07308886940189</v>
      </c>
      <c r="BI64" s="32">
        <v>6.3861322855924413E-2</v>
      </c>
      <c r="BJ64" s="32">
        <v>1.5811478985821366E-2</v>
      </c>
      <c r="BK64" s="32">
        <v>0.13191119212505248</v>
      </c>
      <c r="BL64" s="32">
        <v>-24.95065291665076</v>
      </c>
      <c r="BM64" s="32">
        <v>-24.739068922683963</v>
      </c>
      <c r="BN64" s="32">
        <v>110.83896982559205</v>
      </c>
      <c r="BO64" s="32">
        <v>0</v>
      </c>
      <c r="BP64" s="32">
        <v>40.678371603967719</v>
      </c>
      <c r="BQ64" s="32">
        <v>0</v>
      </c>
      <c r="BR64" s="32">
        <v>0</v>
      </c>
      <c r="BS64" s="32">
        <v>0</v>
      </c>
      <c r="BT64" s="32">
        <v>0</v>
      </c>
      <c r="BU64" s="32">
        <v>0</v>
      </c>
      <c r="BV64" s="32">
        <v>0</v>
      </c>
      <c r="BW64" s="32">
        <v>15.151734142955977</v>
      </c>
      <c r="BX64" s="32">
        <v>1.2547608103917585</v>
      </c>
      <c r="BY64" s="32"/>
      <c r="BZ64" s="32">
        <v>0</v>
      </c>
      <c r="CA64" s="32">
        <v>-78.952145319170185</v>
      </c>
      <c r="CB64" s="32">
        <v>166.66907557251574</v>
      </c>
      <c r="CC64" s="32">
        <v>-77.697384508778427</v>
      </c>
      <c r="CD64" s="383">
        <v>195.75142836585613</v>
      </c>
      <c r="CE64" s="32">
        <v>-42.515533893365571</v>
      </c>
      <c r="CF64" s="32">
        <v>2.1954258768485122</v>
      </c>
      <c r="CG64" s="32">
        <v>0</v>
      </c>
      <c r="CH64" s="32">
        <v>2.1954258768485122</v>
      </c>
      <c r="CI64" s="32">
        <v>0.10977078578989516</v>
      </c>
      <c r="CJ64" s="32">
        <v>0</v>
      </c>
      <c r="CK64" s="32">
        <v>0.10977078578989516</v>
      </c>
      <c r="CL64" s="32"/>
      <c r="CM64" s="32">
        <v>0</v>
      </c>
      <c r="CN64" s="32"/>
      <c r="CO64" s="32">
        <v>0</v>
      </c>
      <c r="CP64" s="32">
        <v>0</v>
      </c>
      <c r="CQ64" s="32">
        <v>0</v>
      </c>
      <c r="CR64" s="32">
        <v>0</v>
      </c>
      <c r="CS64" s="32">
        <v>0</v>
      </c>
      <c r="CT64" s="32">
        <v>0</v>
      </c>
      <c r="CU64" s="32">
        <v>0.4142902324894614</v>
      </c>
      <c r="CV64" s="32">
        <v>9999</v>
      </c>
      <c r="CW64" s="384">
        <v>0</v>
      </c>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row>
    <row r="65" spans="1:131">
      <c r="A65" s="11" t="s">
        <v>665</v>
      </c>
      <c r="B65" s="11" t="s">
        <v>841</v>
      </c>
      <c r="C65" s="32">
        <v>16.279069767441861</v>
      </c>
      <c r="D65" s="32">
        <v>204.25</v>
      </c>
      <c r="E65" s="32">
        <v>0</v>
      </c>
      <c r="F65" s="32">
        <v>1.0057886064783617</v>
      </c>
      <c r="G65" s="32">
        <v>-28</v>
      </c>
      <c r="H65" s="32">
        <v>0</v>
      </c>
      <c r="I65" s="32" t="s">
        <v>526</v>
      </c>
      <c r="J65" s="32"/>
      <c r="K65" s="32"/>
      <c r="L65" s="32">
        <v>231.09639113662143</v>
      </c>
      <c r="M65" s="32">
        <v>5.4017153198887245E-2</v>
      </c>
      <c r="N65" s="32">
        <v>5.1249670966686187E-2</v>
      </c>
      <c r="O65" s="32">
        <v>0</v>
      </c>
      <c r="P65" s="32">
        <v>0</v>
      </c>
      <c r="Q65" s="32">
        <v>0</v>
      </c>
      <c r="R65" s="32">
        <v>0.20056768396106978</v>
      </c>
      <c r="S65" s="32">
        <v>4.9658722656590201E-2</v>
      </c>
      <c r="T65" s="32">
        <v>0.4142902324894614</v>
      </c>
      <c r="U65" s="32">
        <v>0.59024417128463713</v>
      </c>
      <c r="V65" s="32" t="s">
        <v>611</v>
      </c>
      <c r="W65" s="32" t="s">
        <v>611</v>
      </c>
      <c r="X65" s="32" t="s">
        <v>611</v>
      </c>
      <c r="Y65" s="32" t="s">
        <v>611</v>
      </c>
      <c r="Z65" s="32">
        <v>0</v>
      </c>
      <c r="AA65" s="32">
        <v>0</v>
      </c>
      <c r="AB65" s="32">
        <v>0</v>
      </c>
      <c r="AC65" s="32">
        <v>-380.52913765909528</v>
      </c>
      <c r="AD65" s="32">
        <v>0</v>
      </c>
      <c r="AE65" s="32">
        <v>0</v>
      </c>
      <c r="AF65" s="32">
        <v>0</v>
      </c>
      <c r="AG65" s="32">
        <v>0</v>
      </c>
      <c r="AH65" s="32">
        <v>0.20056768396106978</v>
      </c>
      <c r="AI65" s="32">
        <v>4.9658722656590201E-2</v>
      </c>
      <c r="AJ65" s="32">
        <v>0.4142902324894614</v>
      </c>
      <c r="AK65" s="32">
        <v>-379.93889348781067</v>
      </c>
      <c r="AL65" s="32">
        <v>-379.27437684870353</v>
      </c>
      <c r="AM65" s="32">
        <v>110.83896982559205</v>
      </c>
      <c r="AN65" s="32">
        <v>19.086879245173812</v>
      </c>
      <c r="AO65" s="32">
        <v>12.992584907076587</v>
      </c>
      <c r="AP65" s="32">
        <v>0</v>
      </c>
      <c r="AQ65" s="32">
        <v>142.91843397784243</v>
      </c>
      <c r="AR65" s="32">
        <v>0.20056768396106978</v>
      </c>
      <c r="AS65" s="383">
        <v>712.56959822890974</v>
      </c>
      <c r="AT65" s="32">
        <v>110.83896982559205</v>
      </c>
      <c r="AU65" s="32">
        <v>21.591492358793907</v>
      </c>
      <c r="AV65" s="32">
        <v>13.243046218438597</v>
      </c>
      <c r="AW65" s="32">
        <v>0</v>
      </c>
      <c r="AX65" s="32">
        <v>145.67350840282455</v>
      </c>
      <c r="AY65" s="32">
        <v>4.9658722656590201E-2</v>
      </c>
      <c r="AZ65" s="383">
        <v>2933.4928610672237</v>
      </c>
      <c r="BA65" s="32">
        <v>110.83896982559205</v>
      </c>
      <c r="BB65" s="32">
        <v>40.678371603967719</v>
      </c>
      <c r="BC65" s="32">
        <v>15.151734142955977</v>
      </c>
      <c r="BD65" s="32">
        <v>0</v>
      </c>
      <c r="BE65" s="32">
        <v>166.66907557251574</v>
      </c>
      <c r="BF65" s="32">
        <v>0.25022640661765999</v>
      </c>
      <c r="BG65" s="32">
        <v>-17.696792168839856</v>
      </c>
      <c r="BH65" s="383">
        <v>666.07308886940189</v>
      </c>
      <c r="BI65" s="32">
        <v>6.3861322855924413E-2</v>
      </c>
      <c r="BJ65" s="32">
        <v>1.5811478985821366E-2</v>
      </c>
      <c r="BK65" s="32">
        <v>0.13191119212505248</v>
      </c>
      <c r="BL65" s="32">
        <v>-120.97362777174656</v>
      </c>
      <c r="BM65" s="32">
        <v>-120.76204377777975</v>
      </c>
      <c r="BN65" s="32">
        <v>110.83896982559205</v>
      </c>
      <c r="BO65" s="32">
        <v>0</v>
      </c>
      <c r="BP65" s="32">
        <v>40.678371603967719</v>
      </c>
      <c r="BQ65" s="32">
        <v>0</v>
      </c>
      <c r="BR65" s="32">
        <v>0</v>
      </c>
      <c r="BS65" s="32">
        <v>0</v>
      </c>
      <c r="BT65" s="32">
        <v>0</v>
      </c>
      <c r="BU65" s="32">
        <v>0</v>
      </c>
      <c r="BV65" s="32">
        <v>0</v>
      </c>
      <c r="BW65" s="32">
        <v>15.151734142955977</v>
      </c>
      <c r="BX65" s="32">
        <v>1.2547608103917585</v>
      </c>
      <c r="BY65" s="32"/>
      <c r="BZ65" s="32">
        <v>-380.52913765909528</v>
      </c>
      <c r="CA65" s="32">
        <v>0</v>
      </c>
      <c r="CB65" s="32">
        <v>166.66907557251574</v>
      </c>
      <c r="CC65" s="32">
        <v>-379.27437684870353</v>
      </c>
      <c r="CD65" s="383">
        <v>436.0976280895847</v>
      </c>
      <c r="CE65" s="32">
        <v>-138.53850874846137</v>
      </c>
      <c r="CF65" s="32">
        <v>2.1954258768485122</v>
      </c>
      <c r="CG65" s="32">
        <v>0</v>
      </c>
      <c r="CH65" s="32">
        <v>2.1954258768485122</v>
      </c>
      <c r="CI65" s="32">
        <v>0.10977078578989516</v>
      </c>
      <c r="CJ65" s="32">
        <v>0</v>
      </c>
      <c r="CK65" s="32">
        <v>0.10977078578989516</v>
      </c>
      <c r="CL65" s="32"/>
      <c r="CM65" s="32">
        <v>0</v>
      </c>
      <c r="CN65" s="32"/>
      <c r="CO65" s="32">
        <v>0</v>
      </c>
      <c r="CP65" s="32">
        <v>0</v>
      </c>
      <c r="CQ65" s="32">
        <v>0</v>
      </c>
      <c r="CR65" s="32">
        <v>0</v>
      </c>
      <c r="CS65" s="32">
        <v>0</v>
      </c>
      <c r="CT65" s="32">
        <v>0</v>
      </c>
      <c r="CU65" s="32">
        <v>0.4142902324894614</v>
      </c>
      <c r="CV65" s="32">
        <v>9999</v>
      </c>
      <c r="CW65" s="384">
        <v>0</v>
      </c>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row>
    <row r="66" spans="1:131">
      <c r="A66" s="11" t="s">
        <v>666</v>
      </c>
      <c r="B66" s="11" t="s">
        <v>842</v>
      </c>
      <c r="C66" s="32">
        <v>16.279069767441861</v>
      </c>
      <c r="D66" s="32">
        <v>333.25</v>
      </c>
      <c r="E66" s="32">
        <v>0</v>
      </c>
      <c r="F66" s="32">
        <v>1.0057886064783617</v>
      </c>
      <c r="G66" s="32">
        <v>0</v>
      </c>
      <c r="H66" s="32">
        <v>-78.952145319170185</v>
      </c>
      <c r="I66" s="32" t="s">
        <v>526</v>
      </c>
      <c r="J66" s="32"/>
      <c r="K66" s="32"/>
      <c r="L66" s="32">
        <v>377.0520065913297</v>
      </c>
      <c r="M66" s="32">
        <v>8.8133249956079199E-2</v>
      </c>
      <c r="N66" s="32">
        <v>8.3617884208803783E-2</v>
      </c>
      <c r="O66" s="32">
        <v>0</v>
      </c>
      <c r="P66" s="32">
        <v>0</v>
      </c>
      <c r="Q66" s="32">
        <v>0</v>
      </c>
      <c r="R66" s="32">
        <v>0.20056768396106978</v>
      </c>
      <c r="S66" s="32">
        <v>4.9658722656590201E-2</v>
      </c>
      <c r="T66" s="32">
        <v>0.4142902324894614</v>
      </c>
      <c r="U66" s="32">
        <v>0.59024417128463713</v>
      </c>
      <c r="V66" s="32" t="s">
        <v>611</v>
      </c>
      <c r="W66" s="32" t="s">
        <v>611</v>
      </c>
      <c r="X66" s="32" t="s">
        <v>611</v>
      </c>
      <c r="Y66" s="32" t="s">
        <v>611</v>
      </c>
      <c r="Z66" s="32">
        <v>0</v>
      </c>
      <c r="AA66" s="32">
        <v>0</v>
      </c>
      <c r="AB66" s="32">
        <v>0</v>
      </c>
      <c r="AC66" s="32">
        <v>0</v>
      </c>
      <c r="AD66" s="32">
        <v>0</v>
      </c>
      <c r="AE66" s="32">
        <v>0</v>
      </c>
      <c r="AF66" s="32">
        <v>0</v>
      </c>
      <c r="AG66" s="32">
        <v>-78.952145319170185</v>
      </c>
      <c r="AH66" s="32">
        <v>0.20056768396106978</v>
      </c>
      <c r="AI66" s="32">
        <v>4.9658722656590201E-2</v>
      </c>
      <c r="AJ66" s="32">
        <v>0.4142902324894614</v>
      </c>
      <c r="AK66" s="32">
        <v>-78.361901147885547</v>
      </c>
      <c r="AL66" s="32">
        <v>-77.697384508778427</v>
      </c>
      <c r="AM66" s="32">
        <v>180.84252971543961</v>
      </c>
      <c r="AN66" s="32">
        <v>31.141750347388854</v>
      </c>
      <c r="AO66" s="32">
        <v>21.198428006282846</v>
      </c>
      <c r="AP66" s="32">
        <v>0</v>
      </c>
      <c r="AQ66" s="32">
        <v>233.18270806911133</v>
      </c>
      <c r="AR66" s="32">
        <v>0.20056768396106978</v>
      </c>
      <c r="AS66" s="383">
        <v>1162.6135550050633</v>
      </c>
      <c r="AT66" s="32">
        <v>180.84252971543961</v>
      </c>
      <c r="AU66" s="32">
        <v>35.228224374874266</v>
      </c>
      <c r="AV66" s="32">
        <v>21.607075409031388</v>
      </c>
      <c r="AW66" s="32">
        <v>0</v>
      </c>
      <c r="AX66" s="32">
        <v>237.67782949934525</v>
      </c>
      <c r="AY66" s="32">
        <v>4.9658722656590201E-2</v>
      </c>
      <c r="AZ66" s="383">
        <v>4786.225194372837</v>
      </c>
      <c r="BA66" s="32">
        <v>180.84252971543961</v>
      </c>
      <c r="BB66" s="32">
        <v>66.369974722263123</v>
      </c>
      <c r="BC66" s="32">
        <v>24.721250443770273</v>
      </c>
      <c r="BD66" s="32">
        <v>0</v>
      </c>
      <c r="BE66" s="32">
        <v>271.93375488147302</v>
      </c>
      <c r="BF66" s="32">
        <v>0.25022640661765999</v>
      </c>
      <c r="BG66" s="32">
        <v>-17.727633253423758</v>
      </c>
      <c r="BH66" s="383">
        <v>1086.7508292079715</v>
      </c>
      <c r="BI66" s="32">
        <v>3.9140810782663349E-2</v>
      </c>
      <c r="BJ66" s="32">
        <v>9.6909064751808365E-3</v>
      </c>
      <c r="BK66" s="32">
        <v>8.0848795173419266E-2</v>
      </c>
      <c r="BL66" s="32">
        <v>-15.292335658592402</v>
      </c>
      <c r="BM66" s="32">
        <v>-15.162655146161137</v>
      </c>
      <c r="BN66" s="32">
        <v>180.84252971543961</v>
      </c>
      <c r="BO66" s="32">
        <v>0</v>
      </c>
      <c r="BP66" s="32">
        <v>66.369974722263123</v>
      </c>
      <c r="BQ66" s="32">
        <v>0</v>
      </c>
      <c r="BR66" s="32">
        <v>0</v>
      </c>
      <c r="BS66" s="32">
        <v>0</v>
      </c>
      <c r="BT66" s="32">
        <v>0</v>
      </c>
      <c r="BU66" s="32">
        <v>0</v>
      </c>
      <c r="BV66" s="32">
        <v>0</v>
      </c>
      <c r="BW66" s="32">
        <v>24.721250443770273</v>
      </c>
      <c r="BX66" s="32">
        <v>1.2547608103917585</v>
      </c>
      <c r="BY66" s="32"/>
      <c r="BZ66" s="32">
        <v>0</v>
      </c>
      <c r="CA66" s="32">
        <v>-78.952145319170185</v>
      </c>
      <c r="CB66" s="32">
        <v>271.93375488147302</v>
      </c>
      <c r="CC66" s="32">
        <v>-77.697384508778427</v>
      </c>
      <c r="CD66" s="383">
        <v>279.64365582241157</v>
      </c>
      <c r="CE66" s="32">
        <v>-32.939120116842744</v>
      </c>
      <c r="CF66" s="32">
        <v>3.5820106411738895</v>
      </c>
      <c r="CG66" s="32">
        <v>0</v>
      </c>
      <c r="CH66" s="32">
        <v>3.5820106411738895</v>
      </c>
      <c r="CI66" s="32">
        <v>0.17909970313088158</v>
      </c>
      <c r="CJ66" s="32">
        <v>0</v>
      </c>
      <c r="CK66" s="32">
        <v>0.17909970313088158</v>
      </c>
      <c r="CL66" s="32"/>
      <c r="CM66" s="32">
        <v>0</v>
      </c>
      <c r="CN66" s="32"/>
      <c r="CO66" s="32">
        <v>0</v>
      </c>
      <c r="CP66" s="32">
        <v>0</v>
      </c>
      <c r="CQ66" s="32">
        <v>0</v>
      </c>
      <c r="CR66" s="32">
        <v>0</v>
      </c>
      <c r="CS66" s="32">
        <v>0</v>
      </c>
      <c r="CT66" s="32">
        <v>0</v>
      </c>
      <c r="CU66" s="32">
        <v>0.4142902324894614</v>
      </c>
      <c r="CV66" s="32">
        <v>9999</v>
      </c>
      <c r="CW66" s="384">
        <v>0</v>
      </c>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row>
    <row r="67" spans="1:131">
      <c r="A67" s="11" t="s">
        <v>666</v>
      </c>
      <c r="B67" s="11" t="s">
        <v>843</v>
      </c>
      <c r="C67" s="32">
        <v>16.279069767441861</v>
      </c>
      <c r="D67" s="32">
        <v>333.25</v>
      </c>
      <c r="E67" s="32">
        <v>0</v>
      </c>
      <c r="F67" s="32">
        <v>1.0057886064783617</v>
      </c>
      <c r="G67" s="32">
        <v>-28</v>
      </c>
      <c r="H67" s="32">
        <v>0</v>
      </c>
      <c r="I67" s="32" t="s">
        <v>526</v>
      </c>
      <c r="J67" s="32"/>
      <c r="K67" s="32"/>
      <c r="L67" s="32">
        <v>377.0520065913297</v>
      </c>
      <c r="M67" s="32">
        <v>8.8133249956079199E-2</v>
      </c>
      <c r="N67" s="32">
        <v>8.3617884208803783E-2</v>
      </c>
      <c r="O67" s="32">
        <v>0</v>
      </c>
      <c r="P67" s="32">
        <v>0</v>
      </c>
      <c r="Q67" s="32">
        <v>0</v>
      </c>
      <c r="R67" s="32">
        <v>0.20056768396106978</v>
      </c>
      <c r="S67" s="32">
        <v>4.9658722656590201E-2</v>
      </c>
      <c r="T67" s="32">
        <v>0.4142902324894614</v>
      </c>
      <c r="U67" s="32">
        <v>0.59024417128463713</v>
      </c>
      <c r="V67" s="32" t="s">
        <v>611</v>
      </c>
      <c r="W67" s="32" t="s">
        <v>611</v>
      </c>
      <c r="X67" s="32" t="s">
        <v>611</v>
      </c>
      <c r="Y67" s="32" t="s">
        <v>611</v>
      </c>
      <c r="Z67" s="32">
        <v>0</v>
      </c>
      <c r="AA67" s="32">
        <v>0</v>
      </c>
      <c r="AB67" s="32">
        <v>0</v>
      </c>
      <c r="AC67" s="32">
        <v>-380.52913765909528</v>
      </c>
      <c r="AD67" s="32">
        <v>0</v>
      </c>
      <c r="AE67" s="32">
        <v>0</v>
      </c>
      <c r="AF67" s="32">
        <v>0</v>
      </c>
      <c r="AG67" s="32">
        <v>0</v>
      </c>
      <c r="AH67" s="32">
        <v>0.20056768396106978</v>
      </c>
      <c r="AI67" s="32">
        <v>4.9658722656590201E-2</v>
      </c>
      <c r="AJ67" s="32">
        <v>0.4142902324894614</v>
      </c>
      <c r="AK67" s="32">
        <v>-379.93889348781067</v>
      </c>
      <c r="AL67" s="32">
        <v>-379.27437684870353</v>
      </c>
      <c r="AM67" s="32">
        <v>180.84252971543961</v>
      </c>
      <c r="AN67" s="32">
        <v>31.141750347388854</v>
      </c>
      <c r="AO67" s="32">
        <v>21.198428006282846</v>
      </c>
      <c r="AP67" s="32">
        <v>0</v>
      </c>
      <c r="AQ67" s="32">
        <v>233.18270806911133</v>
      </c>
      <c r="AR67" s="32">
        <v>0.20056768396106978</v>
      </c>
      <c r="AS67" s="383">
        <v>1162.6135550050633</v>
      </c>
      <c r="AT67" s="32">
        <v>180.84252971543961</v>
      </c>
      <c r="AU67" s="32">
        <v>35.228224374874266</v>
      </c>
      <c r="AV67" s="32">
        <v>21.607075409031388</v>
      </c>
      <c r="AW67" s="32">
        <v>0</v>
      </c>
      <c r="AX67" s="32">
        <v>237.67782949934525</v>
      </c>
      <c r="AY67" s="32">
        <v>4.9658722656590201E-2</v>
      </c>
      <c r="AZ67" s="383">
        <v>4786.225194372837</v>
      </c>
      <c r="BA67" s="32">
        <v>180.84252971543961</v>
      </c>
      <c r="BB67" s="32">
        <v>66.369974722263123</v>
      </c>
      <c r="BC67" s="32">
        <v>24.721250443770273</v>
      </c>
      <c r="BD67" s="32">
        <v>0</v>
      </c>
      <c r="BE67" s="32">
        <v>271.93375488147302</v>
      </c>
      <c r="BF67" s="32">
        <v>0.25022640661765999</v>
      </c>
      <c r="BG67" s="32">
        <v>-17.727633253423758</v>
      </c>
      <c r="BH67" s="383">
        <v>1086.7508292079715</v>
      </c>
      <c r="BI67" s="32">
        <v>3.9140810782663349E-2</v>
      </c>
      <c r="BJ67" s="32">
        <v>9.6909064751808365E-3</v>
      </c>
      <c r="BK67" s="32">
        <v>8.0848795173419266E-2</v>
      </c>
      <c r="BL67" s="32">
        <v>-74.145126698812405</v>
      </c>
      <c r="BM67" s="32">
        <v>-74.015446186381141</v>
      </c>
      <c r="BN67" s="32">
        <v>180.84252971543961</v>
      </c>
      <c r="BO67" s="32">
        <v>0</v>
      </c>
      <c r="BP67" s="32">
        <v>66.369974722263123</v>
      </c>
      <c r="BQ67" s="32">
        <v>0</v>
      </c>
      <c r="BR67" s="32">
        <v>0</v>
      </c>
      <c r="BS67" s="32">
        <v>0</v>
      </c>
      <c r="BT67" s="32">
        <v>0</v>
      </c>
      <c r="BU67" s="32">
        <v>0</v>
      </c>
      <c r="BV67" s="32">
        <v>0</v>
      </c>
      <c r="BW67" s="32">
        <v>24.721250443770273</v>
      </c>
      <c r="BX67" s="32">
        <v>1.2547608103917585</v>
      </c>
      <c r="BY67" s="32"/>
      <c r="BZ67" s="32">
        <v>-380.52913765909528</v>
      </c>
      <c r="CA67" s="32">
        <v>0</v>
      </c>
      <c r="CB67" s="32">
        <v>271.93375488147302</v>
      </c>
      <c r="CC67" s="32">
        <v>-379.27437684870353</v>
      </c>
      <c r="CD67" s="383">
        <v>519.98985554614023</v>
      </c>
      <c r="CE67" s="32">
        <v>-91.791911157062742</v>
      </c>
      <c r="CF67" s="32">
        <v>3.5820106411738895</v>
      </c>
      <c r="CG67" s="32">
        <v>0</v>
      </c>
      <c r="CH67" s="32">
        <v>3.5820106411738895</v>
      </c>
      <c r="CI67" s="32">
        <v>0.17909970313088158</v>
      </c>
      <c r="CJ67" s="32">
        <v>0</v>
      </c>
      <c r="CK67" s="32">
        <v>0.17909970313088158</v>
      </c>
      <c r="CL67" s="32"/>
      <c r="CM67" s="32">
        <v>0</v>
      </c>
      <c r="CN67" s="32"/>
      <c r="CO67" s="32">
        <v>0</v>
      </c>
      <c r="CP67" s="32">
        <v>0</v>
      </c>
      <c r="CQ67" s="32">
        <v>0</v>
      </c>
      <c r="CR67" s="32">
        <v>0</v>
      </c>
      <c r="CS67" s="32">
        <v>0</v>
      </c>
      <c r="CT67" s="32">
        <v>0</v>
      </c>
      <c r="CU67" s="32">
        <v>0.4142902324894614</v>
      </c>
      <c r="CV67" s="32">
        <v>9999</v>
      </c>
      <c r="CW67" s="384">
        <v>0</v>
      </c>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row>
    <row r="68" spans="1:131">
      <c r="A68" s="11" t="s">
        <v>667</v>
      </c>
      <c r="B68" s="11" t="s">
        <v>955</v>
      </c>
      <c r="C68" s="32">
        <v>16.279069767441861</v>
      </c>
      <c r="D68" s="32">
        <v>597.70000000000005</v>
      </c>
      <c r="E68" s="32">
        <v>0</v>
      </c>
      <c r="F68" s="32">
        <v>67.011577212956723</v>
      </c>
      <c r="G68" s="32">
        <v>0</v>
      </c>
      <c r="H68" s="32">
        <v>-88.191149031623709</v>
      </c>
      <c r="I68" s="32" t="s">
        <v>526</v>
      </c>
      <c r="J68" s="32"/>
      <c r="K68" s="32"/>
      <c r="L68" s="32">
        <v>676.26101827348168</v>
      </c>
      <c r="M68" s="32">
        <v>0.1580712483083227</v>
      </c>
      <c r="N68" s="32">
        <v>0.14997272135514486</v>
      </c>
      <c r="O68" s="32">
        <v>0</v>
      </c>
      <c r="P68" s="32">
        <v>0</v>
      </c>
      <c r="Q68" s="32">
        <v>0</v>
      </c>
      <c r="R68" s="32">
        <v>13.363003670563335</v>
      </c>
      <c r="S68" s="32">
        <v>3.3085573908521795</v>
      </c>
      <c r="T68" s="32">
        <v>27.602462112040847</v>
      </c>
      <c r="U68" s="32">
        <v>39.32555270935957</v>
      </c>
      <c r="V68" s="32" t="s">
        <v>611</v>
      </c>
      <c r="W68" s="32" t="s">
        <v>611</v>
      </c>
      <c r="X68" s="32" t="s">
        <v>611</v>
      </c>
      <c r="Y68" s="32" t="s">
        <v>611</v>
      </c>
      <c r="Z68" s="32">
        <v>0</v>
      </c>
      <c r="AA68" s="32">
        <v>0</v>
      </c>
      <c r="AB68" s="32">
        <v>0</v>
      </c>
      <c r="AC68" s="32">
        <v>0</v>
      </c>
      <c r="AD68" s="32">
        <v>0</v>
      </c>
      <c r="AE68" s="32">
        <v>0</v>
      </c>
      <c r="AF68" s="32">
        <v>0</v>
      </c>
      <c r="AG68" s="32">
        <v>-88.191149031623709</v>
      </c>
      <c r="AH68" s="32">
        <v>13.363003670563335</v>
      </c>
      <c r="AI68" s="32">
        <v>3.3085573908521795</v>
      </c>
      <c r="AJ68" s="32">
        <v>27.602462112040847</v>
      </c>
      <c r="AK68" s="32">
        <v>-48.865596322264139</v>
      </c>
      <c r="AL68" s="32">
        <v>-4.5915731488077753</v>
      </c>
      <c r="AM68" s="32">
        <v>324.34982748962744</v>
      </c>
      <c r="AN68" s="32">
        <v>55.854236106929704</v>
      </c>
      <c r="AO68" s="32">
        <v>38.020406359655716</v>
      </c>
      <c r="AP68" s="32">
        <v>0</v>
      </c>
      <c r="AQ68" s="32">
        <v>418.22446995621289</v>
      </c>
      <c r="AR68" s="32">
        <v>13.363003670563335</v>
      </c>
      <c r="AS68" s="383">
        <v>31.297190382241514</v>
      </c>
      <c r="AT68" s="32">
        <v>324.34982748962744</v>
      </c>
      <c r="AU68" s="32">
        <v>63.183525007839016</v>
      </c>
      <c r="AV68" s="32">
        <v>38.753335249746648</v>
      </c>
      <c r="AW68" s="32">
        <v>0</v>
      </c>
      <c r="AX68" s="32">
        <v>426.28668774721314</v>
      </c>
      <c r="AY68" s="32">
        <v>3.3085573908521795</v>
      </c>
      <c r="AZ68" s="383">
        <v>128.84367335620411</v>
      </c>
      <c r="BA68" s="32">
        <v>324.34982748962744</v>
      </c>
      <c r="BB68" s="32">
        <v>119.03776111476873</v>
      </c>
      <c r="BC68" s="32">
        <v>44.338758860439619</v>
      </c>
      <c r="BD68" s="32">
        <v>0</v>
      </c>
      <c r="BE68" s="32">
        <v>487.72634746483578</v>
      </c>
      <c r="BF68" s="32">
        <v>16.671561061415517</v>
      </c>
      <c r="BG68" s="32">
        <v>-15.962486920103693</v>
      </c>
      <c r="BH68" s="383">
        <v>29.25498971980641</v>
      </c>
      <c r="BI68" s="32">
        <v>1.4539847383755364</v>
      </c>
      <c r="BJ68" s="32">
        <v>0.35999331220237979</v>
      </c>
      <c r="BK68" s="32">
        <v>3.0033336547609046</v>
      </c>
      <c r="BL68" s="32">
        <v>-5.3169057672792359</v>
      </c>
      <c r="BM68" s="32">
        <v>-0.49959406194041495</v>
      </c>
      <c r="BN68" s="32">
        <v>324.34982748962744</v>
      </c>
      <c r="BO68" s="32">
        <v>0</v>
      </c>
      <c r="BP68" s="32">
        <v>119.03776111476873</v>
      </c>
      <c r="BQ68" s="32">
        <v>0</v>
      </c>
      <c r="BR68" s="32">
        <v>0</v>
      </c>
      <c r="BS68" s="32">
        <v>0</v>
      </c>
      <c r="BT68" s="32">
        <v>0</v>
      </c>
      <c r="BU68" s="32">
        <v>0</v>
      </c>
      <c r="BV68" s="32">
        <v>0</v>
      </c>
      <c r="BW68" s="32">
        <v>44.338758860439619</v>
      </c>
      <c r="BX68" s="32">
        <v>83.599575882815941</v>
      </c>
      <c r="BY68" s="32"/>
      <c r="BZ68" s="32">
        <v>0</v>
      </c>
      <c r="CA68" s="32">
        <v>-88.191149031623709</v>
      </c>
      <c r="CB68" s="32">
        <v>487.72634746483578</v>
      </c>
      <c r="CC68" s="32">
        <v>-4.5915731488077682</v>
      </c>
      <c r="CD68" s="383">
        <v>6.8890002181798202</v>
      </c>
      <c r="CE68" s="32">
        <v>-18.276059032622022</v>
      </c>
      <c r="CF68" s="32">
        <v>6.4245094080409224</v>
      </c>
      <c r="CG68" s="32">
        <v>0</v>
      </c>
      <c r="CH68" s="32">
        <v>6.4245094080409224</v>
      </c>
      <c r="CI68" s="32">
        <v>0.32122398367990379</v>
      </c>
      <c r="CJ68" s="32">
        <v>0</v>
      </c>
      <c r="CK68" s="32">
        <v>0.32122398367990379</v>
      </c>
      <c r="CL68" s="32"/>
      <c r="CM68" s="32">
        <v>0</v>
      </c>
      <c r="CN68" s="32"/>
      <c r="CO68" s="32">
        <v>0</v>
      </c>
      <c r="CP68" s="32">
        <v>0</v>
      </c>
      <c r="CQ68" s="32">
        <v>0</v>
      </c>
      <c r="CR68" s="32">
        <v>0</v>
      </c>
      <c r="CS68" s="32">
        <v>0</v>
      </c>
      <c r="CT68" s="32">
        <v>0</v>
      </c>
      <c r="CU68" s="32">
        <v>27.602462112040847</v>
      </c>
      <c r="CV68" s="32">
        <v>9999</v>
      </c>
      <c r="CW68" s="384">
        <v>0</v>
      </c>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row>
    <row r="69" spans="1:131">
      <c r="A69" s="11" t="s">
        <v>667</v>
      </c>
      <c r="B69" s="11" t="s">
        <v>956</v>
      </c>
      <c r="C69" s="32">
        <v>16.279069767441861</v>
      </c>
      <c r="D69" s="32">
        <v>597.70000000000005</v>
      </c>
      <c r="E69" s="32">
        <v>0</v>
      </c>
      <c r="F69" s="32">
        <v>67.011577212956723</v>
      </c>
      <c r="G69" s="32">
        <v>-28</v>
      </c>
      <c r="H69" s="32">
        <v>0</v>
      </c>
      <c r="I69" s="32" t="s">
        <v>526</v>
      </c>
      <c r="J69" s="32"/>
      <c r="K69" s="32"/>
      <c r="L69" s="32">
        <v>676.26101827348168</v>
      </c>
      <c r="M69" s="32">
        <v>0.1580712483083227</v>
      </c>
      <c r="N69" s="32">
        <v>0.14997272135514486</v>
      </c>
      <c r="O69" s="32">
        <v>0</v>
      </c>
      <c r="P69" s="32">
        <v>0</v>
      </c>
      <c r="Q69" s="32">
        <v>0</v>
      </c>
      <c r="R69" s="32">
        <v>13.363003670563335</v>
      </c>
      <c r="S69" s="32">
        <v>3.3085573908521795</v>
      </c>
      <c r="T69" s="32">
        <v>27.602462112040847</v>
      </c>
      <c r="U69" s="32">
        <v>39.32555270935957</v>
      </c>
      <c r="V69" s="32" t="s">
        <v>611</v>
      </c>
      <c r="W69" s="32" t="s">
        <v>611</v>
      </c>
      <c r="X69" s="32" t="s">
        <v>611</v>
      </c>
      <c r="Y69" s="32" t="s">
        <v>611</v>
      </c>
      <c r="Z69" s="32">
        <v>0</v>
      </c>
      <c r="AA69" s="32">
        <v>0</v>
      </c>
      <c r="AB69" s="32">
        <v>0</v>
      </c>
      <c r="AC69" s="32">
        <v>-380.52913765909528</v>
      </c>
      <c r="AD69" s="32">
        <v>0</v>
      </c>
      <c r="AE69" s="32">
        <v>0</v>
      </c>
      <c r="AF69" s="32">
        <v>0</v>
      </c>
      <c r="AG69" s="32">
        <v>0</v>
      </c>
      <c r="AH69" s="32">
        <v>13.363003670563335</v>
      </c>
      <c r="AI69" s="32">
        <v>3.3085573908521795</v>
      </c>
      <c r="AJ69" s="32">
        <v>27.602462112040847</v>
      </c>
      <c r="AK69" s="32">
        <v>-341.20358494973573</v>
      </c>
      <c r="AL69" s="32">
        <v>-296.92956177627934</v>
      </c>
      <c r="AM69" s="32">
        <v>324.34982748962744</v>
      </c>
      <c r="AN69" s="32">
        <v>55.854236106929704</v>
      </c>
      <c r="AO69" s="32">
        <v>38.020406359655716</v>
      </c>
      <c r="AP69" s="32">
        <v>0</v>
      </c>
      <c r="AQ69" s="32">
        <v>418.22446995621289</v>
      </c>
      <c r="AR69" s="32">
        <v>13.363003670563335</v>
      </c>
      <c r="AS69" s="383">
        <v>31.297190382241514</v>
      </c>
      <c r="AT69" s="32">
        <v>324.34982748962744</v>
      </c>
      <c r="AU69" s="32">
        <v>63.183525007839016</v>
      </c>
      <c r="AV69" s="32">
        <v>38.753335249746648</v>
      </c>
      <c r="AW69" s="32">
        <v>0</v>
      </c>
      <c r="AX69" s="32">
        <v>426.28668774721314</v>
      </c>
      <c r="AY69" s="32">
        <v>3.3085573908521795</v>
      </c>
      <c r="AZ69" s="383">
        <v>128.84367335620411</v>
      </c>
      <c r="BA69" s="32">
        <v>324.34982748962744</v>
      </c>
      <c r="BB69" s="32">
        <v>119.03776111476873</v>
      </c>
      <c r="BC69" s="32">
        <v>44.338758860439619</v>
      </c>
      <c r="BD69" s="32">
        <v>0</v>
      </c>
      <c r="BE69" s="32">
        <v>487.72634746483578</v>
      </c>
      <c r="BF69" s="32">
        <v>16.671561061415517</v>
      </c>
      <c r="BG69" s="32">
        <v>-15.962486920103693</v>
      </c>
      <c r="BH69" s="383">
        <v>29.25498971980641</v>
      </c>
      <c r="BI69" s="32">
        <v>1.4539847383755364</v>
      </c>
      <c r="BJ69" s="32">
        <v>0.35999331220237979</v>
      </c>
      <c r="BK69" s="32">
        <v>3.0033336547609046</v>
      </c>
      <c r="BL69" s="32">
        <v>-37.125246495949114</v>
      </c>
      <c r="BM69" s="32">
        <v>-32.30793479061029</v>
      </c>
      <c r="BN69" s="32">
        <v>324.34982748962744</v>
      </c>
      <c r="BO69" s="32">
        <v>0</v>
      </c>
      <c r="BP69" s="32">
        <v>119.03776111476873</v>
      </c>
      <c r="BQ69" s="32">
        <v>0</v>
      </c>
      <c r="BR69" s="32">
        <v>0</v>
      </c>
      <c r="BS69" s="32">
        <v>0</v>
      </c>
      <c r="BT69" s="32">
        <v>0</v>
      </c>
      <c r="BU69" s="32">
        <v>0</v>
      </c>
      <c r="BV69" s="32">
        <v>0</v>
      </c>
      <c r="BW69" s="32">
        <v>44.338758860439619</v>
      </c>
      <c r="BX69" s="32">
        <v>83.599575882815941</v>
      </c>
      <c r="BY69" s="32"/>
      <c r="BZ69" s="32">
        <v>-380.52913765909528</v>
      </c>
      <c r="CA69" s="32">
        <v>0</v>
      </c>
      <c r="CB69" s="32">
        <v>487.72634746483578</v>
      </c>
      <c r="CC69" s="32">
        <v>-296.92956177627934</v>
      </c>
      <c r="CD69" s="383">
        <v>10.385883851145261</v>
      </c>
      <c r="CE69" s="32">
        <v>-50.084399761291891</v>
      </c>
      <c r="CF69" s="32">
        <v>6.4245094080409224</v>
      </c>
      <c r="CG69" s="32">
        <v>0</v>
      </c>
      <c r="CH69" s="32">
        <v>6.4245094080409224</v>
      </c>
      <c r="CI69" s="32">
        <v>0.32122398367990379</v>
      </c>
      <c r="CJ69" s="32">
        <v>0</v>
      </c>
      <c r="CK69" s="32">
        <v>0.32122398367990379</v>
      </c>
      <c r="CL69" s="32"/>
      <c r="CM69" s="32">
        <v>0</v>
      </c>
      <c r="CN69" s="32"/>
      <c r="CO69" s="32">
        <v>0</v>
      </c>
      <c r="CP69" s="32">
        <v>0</v>
      </c>
      <c r="CQ69" s="32">
        <v>0</v>
      </c>
      <c r="CR69" s="32">
        <v>0</v>
      </c>
      <c r="CS69" s="32">
        <v>0</v>
      </c>
      <c r="CT69" s="32">
        <v>0</v>
      </c>
      <c r="CU69" s="32">
        <v>27.602462112040847</v>
      </c>
      <c r="CV69" s="32">
        <v>9999</v>
      </c>
      <c r="CW69" s="384">
        <v>0</v>
      </c>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row>
    <row r="70" spans="1:131">
      <c r="A70" s="11" t="s">
        <v>668</v>
      </c>
      <c r="B70" s="11" t="s">
        <v>872</v>
      </c>
      <c r="C70" s="32">
        <v>16.279069767441861</v>
      </c>
      <c r="D70" s="32">
        <v>1459.85</v>
      </c>
      <c r="E70" s="32">
        <v>0</v>
      </c>
      <c r="F70" s="32">
        <v>266.0347316388702</v>
      </c>
      <c r="G70" s="32">
        <v>0</v>
      </c>
      <c r="H70" s="32">
        <v>-90.31623696009656</v>
      </c>
      <c r="I70" s="32" t="s">
        <v>526</v>
      </c>
      <c r="J70" s="32"/>
      <c r="K70" s="32"/>
      <c r="L70" s="32">
        <v>1651.7310482291152</v>
      </c>
      <c r="M70" s="32">
        <v>0.38608049496888885</v>
      </c>
      <c r="N70" s="32">
        <v>0.36630027985663072</v>
      </c>
      <c r="O70" s="32">
        <v>0</v>
      </c>
      <c r="P70" s="32">
        <v>0</v>
      </c>
      <c r="Q70" s="32">
        <v>0</v>
      </c>
      <c r="R70" s="32">
        <v>53.050879314331205</v>
      </c>
      <c r="S70" s="32">
        <v>13.134912118095537</v>
      </c>
      <c r="T70" s="32">
        <v>109.58126798318446</v>
      </c>
      <c r="U70" s="32">
        <v>156.12172249486898</v>
      </c>
      <c r="V70" s="32" t="s">
        <v>611</v>
      </c>
      <c r="W70" s="32" t="s">
        <v>611</v>
      </c>
      <c r="X70" s="32" t="s">
        <v>611</v>
      </c>
      <c r="Y70" s="32" t="s">
        <v>611</v>
      </c>
      <c r="Z70" s="32">
        <v>0</v>
      </c>
      <c r="AA70" s="32">
        <v>0</v>
      </c>
      <c r="AB70" s="32">
        <v>0</v>
      </c>
      <c r="AC70" s="32">
        <v>0</v>
      </c>
      <c r="AD70" s="32">
        <v>0</v>
      </c>
      <c r="AE70" s="32">
        <v>0</v>
      </c>
      <c r="AF70" s="32">
        <v>0</v>
      </c>
      <c r="AG70" s="32">
        <v>-90.31623696009656</v>
      </c>
      <c r="AH70" s="32">
        <v>53.050879314331205</v>
      </c>
      <c r="AI70" s="32">
        <v>13.134912118095537</v>
      </c>
      <c r="AJ70" s="32">
        <v>109.58126798318446</v>
      </c>
      <c r="AK70" s="32">
        <v>65.805485534772416</v>
      </c>
      <c r="AL70" s="32">
        <v>241.57254495038359</v>
      </c>
      <c r="AM70" s="32">
        <v>792.20695275344133</v>
      </c>
      <c r="AN70" s="32">
        <v>136.42095797340019</v>
      </c>
      <c r="AO70" s="32">
        <v>92.862791072684161</v>
      </c>
      <c r="AP70" s="32">
        <v>0</v>
      </c>
      <c r="AQ70" s="32">
        <v>1021.4907017995256</v>
      </c>
      <c r="AR70" s="32">
        <v>53.050879314331205</v>
      </c>
      <c r="AS70" s="383">
        <v>19.254924989029906</v>
      </c>
      <c r="AT70" s="32">
        <v>792.20695275344133</v>
      </c>
      <c r="AU70" s="32">
        <v>154.32235064864273</v>
      </c>
      <c r="AV70" s="32">
        <v>94.652930340208414</v>
      </c>
      <c r="AW70" s="32">
        <v>0</v>
      </c>
      <c r="AX70" s="32">
        <v>1041.1822337422925</v>
      </c>
      <c r="AY70" s="32">
        <v>13.134912118095537</v>
      </c>
      <c r="AZ70" s="383">
        <v>79.268306051921726</v>
      </c>
      <c r="BA70" s="32">
        <v>792.20695275344133</v>
      </c>
      <c r="BB70" s="32">
        <v>290.74330862204295</v>
      </c>
      <c r="BC70" s="32">
        <v>108.29502613754843</v>
      </c>
      <c r="BD70" s="32">
        <v>0</v>
      </c>
      <c r="BE70" s="32">
        <v>1191.2452875130325</v>
      </c>
      <c r="BF70" s="32">
        <v>66.18579143242674</v>
      </c>
      <c r="BG70" s="32">
        <v>-14.828002879528855</v>
      </c>
      <c r="BH70" s="383">
        <v>17.99850484116746</v>
      </c>
      <c r="BI70" s="32">
        <v>2.3633245621958339</v>
      </c>
      <c r="BJ70" s="32">
        <v>0.58513752895690763</v>
      </c>
      <c r="BK70" s="32">
        <v>4.88165522472808</v>
      </c>
      <c r="BL70" s="32">
        <v>2.9315201237303166</v>
      </c>
      <c r="BM70" s="32">
        <v>10.761637439611137</v>
      </c>
      <c r="BN70" s="32">
        <v>792.20695275344133</v>
      </c>
      <c r="BO70" s="32">
        <v>0</v>
      </c>
      <c r="BP70" s="32">
        <v>290.74330862204295</v>
      </c>
      <c r="BQ70" s="32">
        <v>0</v>
      </c>
      <c r="BR70" s="32">
        <v>0</v>
      </c>
      <c r="BS70" s="32">
        <v>0</v>
      </c>
      <c r="BT70" s="32">
        <v>0</v>
      </c>
      <c r="BU70" s="32">
        <v>0</v>
      </c>
      <c r="BV70" s="32">
        <v>0</v>
      </c>
      <c r="BW70" s="32">
        <v>108.29502613754843</v>
      </c>
      <c r="BX70" s="32">
        <v>331.88878191048013</v>
      </c>
      <c r="BY70" s="32"/>
      <c r="BZ70" s="32">
        <v>0</v>
      </c>
      <c r="CA70" s="32">
        <v>-90.31623696009656</v>
      </c>
      <c r="CB70" s="32">
        <v>1191.2452875130325</v>
      </c>
      <c r="CC70" s="32">
        <v>241.57254495038359</v>
      </c>
      <c r="CD70" s="383">
        <v>3.861418626733828</v>
      </c>
      <c r="CE70" s="32">
        <v>-7.0148275310704538</v>
      </c>
      <c r="CF70" s="32">
        <v>15.691517582948913</v>
      </c>
      <c r="CG70" s="32">
        <v>0</v>
      </c>
      <c r="CH70" s="32">
        <v>15.691517582948913</v>
      </c>
      <c r="CI70" s="32">
        <v>0.7845722479088294</v>
      </c>
      <c r="CJ70" s="32">
        <v>0</v>
      </c>
      <c r="CK70" s="32">
        <v>0.7845722479088294</v>
      </c>
      <c r="CL70" s="32"/>
      <c r="CM70" s="32">
        <v>0</v>
      </c>
      <c r="CN70" s="32"/>
      <c r="CO70" s="32">
        <v>0</v>
      </c>
      <c r="CP70" s="32">
        <v>0</v>
      </c>
      <c r="CQ70" s="32">
        <v>0</v>
      </c>
      <c r="CR70" s="32">
        <v>0</v>
      </c>
      <c r="CS70" s="32">
        <v>0</v>
      </c>
      <c r="CT70" s="32">
        <v>0</v>
      </c>
      <c r="CU70" s="32">
        <v>109.58126798318446</v>
      </c>
      <c r="CV70" s="32">
        <v>9999</v>
      </c>
      <c r="CW70" s="384">
        <v>0</v>
      </c>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row>
    <row r="71" spans="1:131">
      <c r="A71" s="11" t="s">
        <v>668</v>
      </c>
      <c r="B71" s="11" t="s">
        <v>873</v>
      </c>
      <c r="C71" s="32">
        <v>16.279069767441861</v>
      </c>
      <c r="D71" s="32">
        <v>1459.85</v>
      </c>
      <c r="E71" s="32">
        <v>0</v>
      </c>
      <c r="F71" s="32">
        <v>266.0347316388702</v>
      </c>
      <c r="G71" s="32">
        <v>-28</v>
      </c>
      <c r="H71" s="32">
        <v>0</v>
      </c>
      <c r="I71" s="32" t="s">
        <v>526</v>
      </c>
      <c r="J71" s="32"/>
      <c r="K71" s="32"/>
      <c r="L71" s="32">
        <v>1651.7310482291152</v>
      </c>
      <c r="M71" s="32">
        <v>0.38608049496888885</v>
      </c>
      <c r="N71" s="32">
        <v>0.36630027985663072</v>
      </c>
      <c r="O71" s="32">
        <v>0</v>
      </c>
      <c r="P71" s="32">
        <v>0</v>
      </c>
      <c r="Q71" s="32">
        <v>0</v>
      </c>
      <c r="R71" s="32">
        <v>53.050879314331205</v>
      </c>
      <c r="S71" s="32">
        <v>13.134912118095537</v>
      </c>
      <c r="T71" s="32">
        <v>109.58126798318446</v>
      </c>
      <c r="U71" s="32">
        <v>156.12172249486898</v>
      </c>
      <c r="V71" s="32" t="s">
        <v>611</v>
      </c>
      <c r="W71" s="32" t="s">
        <v>611</v>
      </c>
      <c r="X71" s="32" t="s">
        <v>611</v>
      </c>
      <c r="Y71" s="32" t="s">
        <v>611</v>
      </c>
      <c r="Z71" s="32">
        <v>0</v>
      </c>
      <c r="AA71" s="32">
        <v>0</v>
      </c>
      <c r="AB71" s="32">
        <v>0</v>
      </c>
      <c r="AC71" s="32">
        <v>-380.52913765909528</v>
      </c>
      <c r="AD71" s="32">
        <v>0</v>
      </c>
      <c r="AE71" s="32">
        <v>0</v>
      </c>
      <c r="AF71" s="32">
        <v>0</v>
      </c>
      <c r="AG71" s="32">
        <v>0</v>
      </c>
      <c r="AH71" s="32">
        <v>53.050879314331205</v>
      </c>
      <c r="AI71" s="32">
        <v>13.134912118095537</v>
      </c>
      <c r="AJ71" s="32">
        <v>109.58126798318446</v>
      </c>
      <c r="AK71" s="32">
        <v>-224.40741516422631</v>
      </c>
      <c r="AL71" s="32">
        <v>-48.640355748615121</v>
      </c>
      <c r="AM71" s="32">
        <v>792.20695275344133</v>
      </c>
      <c r="AN71" s="32">
        <v>136.42095797340019</v>
      </c>
      <c r="AO71" s="32">
        <v>92.862791072684161</v>
      </c>
      <c r="AP71" s="32">
        <v>0</v>
      </c>
      <c r="AQ71" s="32">
        <v>1021.4907017995256</v>
      </c>
      <c r="AR71" s="32">
        <v>53.050879314331205</v>
      </c>
      <c r="AS71" s="383">
        <v>19.254924989029906</v>
      </c>
      <c r="AT71" s="32">
        <v>792.20695275344133</v>
      </c>
      <c r="AU71" s="32">
        <v>154.32235064864273</v>
      </c>
      <c r="AV71" s="32">
        <v>94.652930340208414</v>
      </c>
      <c r="AW71" s="32">
        <v>0</v>
      </c>
      <c r="AX71" s="32">
        <v>1041.1822337422925</v>
      </c>
      <c r="AY71" s="32">
        <v>13.134912118095537</v>
      </c>
      <c r="AZ71" s="383">
        <v>79.268306051921726</v>
      </c>
      <c r="BA71" s="32">
        <v>792.20695275344133</v>
      </c>
      <c r="BB71" s="32">
        <v>290.74330862204295</v>
      </c>
      <c r="BC71" s="32">
        <v>108.29502613754843</v>
      </c>
      <c r="BD71" s="32">
        <v>0</v>
      </c>
      <c r="BE71" s="32">
        <v>1191.2452875130325</v>
      </c>
      <c r="BF71" s="32">
        <v>66.18579143242674</v>
      </c>
      <c r="BG71" s="32">
        <v>-14.828002879528855</v>
      </c>
      <c r="BH71" s="383">
        <v>17.99850484116746</v>
      </c>
      <c r="BI71" s="32">
        <v>2.3633245621958339</v>
      </c>
      <c r="BJ71" s="32">
        <v>0.58513752895690763</v>
      </c>
      <c r="BK71" s="32">
        <v>4.88165522472808</v>
      </c>
      <c r="BL71" s="32">
        <v>-9.9969607111342516</v>
      </c>
      <c r="BM71" s="32">
        <v>-2.1668433952534309</v>
      </c>
      <c r="BN71" s="32">
        <v>792.20695275344133</v>
      </c>
      <c r="BO71" s="32">
        <v>0</v>
      </c>
      <c r="BP71" s="32">
        <v>290.74330862204295</v>
      </c>
      <c r="BQ71" s="32">
        <v>0</v>
      </c>
      <c r="BR71" s="32">
        <v>0</v>
      </c>
      <c r="BS71" s="32">
        <v>0</v>
      </c>
      <c r="BT71" s="32">
        <v>0</v>
      </c>
      <c r="BU71" s="32">
        <v>0</v>
      </c>
      <c r="BV71" s="32">
        <v>0</v>
      </c>
      <c r="BW71" s="32">
        <v>108.29502613754843</v>
      </c>
      <c r="BX71" s="32">
        <v>331.88878191048013</v>
      </c>
      <c r="BY71" s="32"/>
      <c r="BZ71" s="32">
        <v>-380.52913765909528</v>
      </c>
      <c r="CA71" s="32">
        <v>0</v>
      </c>
      <c r="CB71" s="32">
        <v>1191.2452875130325</v>
      </c>
      <c r="CC71" s="32">
        <v>-48.64035574861515</v>
      </c>
      <c r="CD71" s="383">
        <v>4.7358467982086845</v>
      </c>
      <c r="CE71" s="32">
        <v>-19.943308365935021</v>
      </c>
      <c r="CF71" s="32">
        <v>15.691517582948913</v>
      </c>
      <c r="CG71" s="32">
        <v>0</v>
      </c>
      <c r="CH71" s="32">
        <v>15.691517582948913</v>
      </c>
      <c r="CI71" s="32">
        <v>0.7845722479088294</v>
      </c>
      <c r="CJ71" s="32">
        <v>0</v>
      </c>
      <c r="CK71" s="32">
        <v>0.7845722479088294</v>
      </c>
      <c r="CL71" s="32"/>
      <c r="CM71" s="32">
        <v>0</v>
      </c>
      <c r="CN71" s="32"/>
      <c r="CO71" s="32">
        <v>0</v>
      </c>
      <c r="CP71" s="32">
        <v>0</v>
      </c>
      <c r="CQ71" s="32">
        <v>0</v>
      </c>
      <c r="CR71" s="32">
        <v>0</v>
      </c>
      <c r="CS71" s="32">
        <v>0</v>
      </c>
      <c r="CT71" s="32">
        <v>0</v>
      </c>
      <c r="CU71" s="32">
        <v>109.58126798318446</v>
      </c>
      <c r="CV71" s="32">
        <v>9999</v>
      </c>
      <c r="CW71" s="384">
        <v>0</v>
      </c>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row>
    <row r="72" spans="1:131">
      <c r="A72" s="11" t="s">
        <v>669</v>
      </c>
      <c r="B72" s="11" t="s">
        <v>531</v>
      </c>
      <c r="C72" s="32">
        <v>16.279069767441861</v>
      </c>
      <c r="D72" s="32">
        <v>84.924999999999983</v>
      </c>
      <c r="E72" s="32">
        <v>0</v>
      </c>
      <c r="F72" s="32">
        <v>28.35202601226743</v>
      </c>
      <c r="G72" s="32">
        <v>0</v>
      </c>
      <c r="H72" s="32">
        <v>-37.995719934850655</v>
      </c>
      <c r="I72" s="32" t="s">
        <v>526</v>
      </c>
      <c r="J72" s="32"/>
      <c r="K72" s="32"/>
      <c r="L72" s="32">
        <v>96.087446841016259</v>
      </c>
      <c r="M72" s="32">
        <v>2.2459763698484694E-2</v>
      </c>
      <c r="N72" s="32">
        <v>2.130907371772741E-2</v>
      </c>
      <c r="O72" s="32">
        <v>0</v>
      </c>
      <c r="P72" s="32">
        <v>0</v>
      </c>
      <c r="Q72" s="32">
        <v>0</v>
      </c>
      <c r="R72" s="32">
        <v>5.6537727274471976</v>
      </c>
      <c r="S72" s="32">
        <v>1.3998223756235293</v>
      </c>
      <c r="T72" s="32">
        <v>11.678365983182603</v>
      </c>
      <c r="U72" s="32">
        <v>16.638305494874672</v>
      </c>
      <c r="V72" s="32" t="s">
        <v>611</v>
      </c>
      <c r="W72" s="32" t="s">
        <v>611</v>
      </c>
      <c r="X72" s="32" t="s">
        <v>611</v>
      </c>
      <c r="Y72" s="32" t="s">
        <v>611</v>
      </c>
      <c r="Z72" s="32">
        <v>0</v>
      </c>
      <c r="AA72" s="32">
        <v>0</v>
      </c>
      <c r="AB72" s="32">
        <v>0</v>
      </c>
      <c r="AC72" s="32">
        <v>0</v>
      </c>
      <c r="AD72" s="32">
        <v>0</v>
      </c>
      <c r="AE72" s="32">
        <v>0</v>
      </c>
      <c r="AF72" s="32">
        <v>0</v>
      </c>
      <c r="AG72" s="32">
        <v>-37.995719934850655</v>
      </c>
      <c r="AH72" s="32">
        <v>5.6537727274471976</v>
      </c>
      <c r="AI72" s="32">
        <v>1.3998223756235293</v>
      </c>
      <c r="AJ72" s="32">
        <v>11.678365983182603</v>
      </c>
      <c r="AK72" s="32">
        <v>-21.357414439975983</v>
      </c>
      <c r="AL72" s="32">
        <v>-2.625453353722655</v>
      </c>
      <c r="AM72" s="32">
        <v>46.085676927482965</v>
      </c>
      <c r="AN72" s="32">
        <v>7.9361234756248979</v>
      </c>
      <c r="AO72" s="32">
        <v>5.4021800403107862</v>
      </c>
      <c r="AP72" s="32">
        <v>0</v>
      </c>
      <c r="AQ72" s="32">
        <v>59.42398044341865</v>
      </c>
      <c r="AR72" s="32">
        <v>5.6537727274471976</v>
      </c>
      <c r="AS72" s="383">
        <v>10.510500387632291</v>
      </c>
      <c r="AT72" s="32">
        <v>46.085676927482965</v>
      </c>
      <c r="AU72" s="32">
        <v>8.9775152439195693</v>
      </c>
      <c r="AV72" s="32">
        <v>5.5063192171402537</v>
      </c>
      <c r="AW72" s="32">
        <v>0</v>
      </c>
      <c r="AX72" s="32">
        <v>60.569511388542786</v>
      </c>
      <c r="AY72" s="32">
        <v>1.3998223756235293</v>
      </c>
      <c r="AZ72" s="383">
        <v>43.269426495317333</v>
      </c>
      <c r="BA72" s="32">
        <v>46.085676927482965</v>
      </c>
      <c r="BB72" s="32">
        <v>16.913638719544466</v>
      </c>
      <c r="BC72" s="32">
        <v>6.2999315647027432</v>
      </c>
      <c r="BD72" s="32">
        <v>0</v>
      </c>
      <c r="BE72" s="32">
        <v>69.299247211730176</v>
      </c>
      <c r="BF72" s="32">
        <v>7.0535951030707267</v>
      </c>
      <c r="BG72" s="32">
        <v>-12.374969865372588</v>
      </c>
      <c r="BH72" s="383">
        <v>9.8246704267957341</v>
      </c>
      <c r="BI72" s="32">
        <v>4.3295405063073131</v>
      </c>
      <c r="BJ72" s="32">
        <v>1.0719545990016988</v>
      </c>
      <c r="BK72" s="32">
        <v>8.9430475912498064</v>
      </c>
      <c r="BL72" s="32">
        <v>-16.355059777866234</v>
      </c>
      <c r="BM72" s="32">
        <v>-2.0105170813074174</v>
      </c>
      <c r="BN72" s="32">
        <v>46.085676927482965</v>
      </c>
      <c r="BO72" s="32">
        <v>0</v>
      </c>
      <c r="BP72" s="32">
        <v>16.913638719544466</v>
      </c>
      <c r="BQ72" s="32">
        <v>0</v>
      </c>
      <c r="BR72" s="32">
        <v>0</v>
      </c>
      <c r="BS72" s="32">
        <v>0</v>
      </c>
      <c r="BT72" s="32">
        <v>0</v>
      </c>
      <c r="BU72" s="32">
        <v>0</v>
      </c>
      <c r="BV72" s="32">
        <v>0</v>
      </c>
      <c r="BW72" s="32">
        <v>6.2999315647027432</v>
      </c>
      <c r="BX72" s="32">
        <v>35.370266581128</v>
      </c>
      <c r="BY72" s="32"/>
      <c r="BZ72" s="32">
        <v>0</v>
      </c>
      <c r="CA72" s="32">
        <v>-37.995719934850655</v>
      </c>
      <c r="CB72" s="32">
        <v>69.299247211730176</v>
      </c>
      <c r="CC72" s="32">
        <v>-2.625453353722655</v>
      </c>
      <c r="CD72" s="383">
        <v>3.0334791766547964</v>
      </c>
      <c r="CE72" s="32">
        <v>-19.786982051989021</v>
      </c>
      <c r="CF72" s="32">
        <v>0.91283496984754209</v>
      </c>
      <c r="CG72" s="32">
        <v>0</v>
      </c>
      <c r="CH72" s="32">
        <v>0.91283496984754209</v>
      </c>
      <c r="CI72" s="32">
        <v>4.5641537249482722E-2</v>
      </c>
      <c r="CJ72" s="32">
        <v>0</v>
      </c>
      <c r="CK72" s="32">
        <v>4.5641537249482722E-2</v>
      </c>
      <c r="CL72" s="32"/>
      <c r="CM72" s="32">
        <v>0</v>
      </c>
      <c r="CN72" s="32"/>
      <c r="CO72" s="32">
        <v>0</v>
      </c>
      <c r="CP72" s="32">
        <v>0</v>
      </c>
      <c r="CQ72" s="32">
        <v>0</v>
      </c>
      <c r="CR72" s="32">
        <v>0</v>
      </c>
      <c r="CS72" s="32">
        <v>0</v>
      </c>
      <c r="CT72" s="32">
        <v>0</v>
      </c>
      <c r="CU72" s="32">
        <v>11.678365983182603</v>
      </c>
      <c r="CV72" s="32">
        <v>9999</v>
      </c>
      <c r="CW72" s="384">
        <v>0</v>
      </c>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row>
    <row r="73" spans="1:131">
      <c r="A73" s="11" t="s">
        <v>669</v>
      </c>
      <c r="B73" s="11" t="s">
        <v>532</v>
      </c>
      <c r="C73" s="32">
        <v>16.279069767441861</v>
      </c>
      <c r="D73" s="32">
        <v>84.924999999999983</v>
      </c>
      <c r="E73" s="32">
        <v>0</v>
      </c>
      <c r="F73" s="32">
        <v>28.35202601226743</v>
      </c>
      <c r="G73" s="32">
        <v>-14</v>
      </c>
      <c r="H73" s="32">
        <v>0</v>
      </c>
      <c r="I73" s="32" t="s">
        <v>526</v>
      </c>
      <c r="J73" s="32"/>
      <c r="K73" s="32"/>
      <c r="L73" s="32">
        <v>96.087446841016259</v>
      </c>
      <c r="M73" s="32">
        <v>2.2459763698484694E-2</v>
      </c>
      <c r="N73" s="32">
        <v>2.130907371772741E-2</v>
      </c>
      <c r="O73" s="32">
        <v>0</v>
      </c>
      <c r="P73" s="32">
        <v>0</v>
      </c>
      <c r="Q73" s="32">
        <v>0</v>
      </c>
      <c r="R73" s="32">
        <v>5.6537727274471976</v>
      </c>
      <c r="S73" s="32">
        <v>1.3998223756235293</v>
      </c>
      <c r="T73" s="32">
        <v>11.678365983182603</v>
      </c>
      <c r="U73" s="32">
        <v>16.638305494874672</v>
      </c>
      <c r="V73" s="32" t="s">
        <v>611</v>
      </c>
      <c r="W73" s="32" t="s">
        <v>611</v>
      </c>
      <c r="X73" s="32" t="s">
        <v>611</v>
      </c>
      <c r="Y73" s="32" t="s">
        <v>611</v>
      </c>
      <c r="Z73" s="32">
        <v>0</v>
      </c>
      <c r="AA73" s="32">
        <v>0</v>
      </c>
      <c r="AB73" s="32">
        <v>0</v>
      </c>
      <c r="AC73" s="32">
        <v>-190.26456882954764</v>
      </c>
      <c r="AD73" s="32">
        <v>0</v>
      </c>
      <c r="AE73" s="32">
        <v>0</v>
      </c>
      <c r="AF73" s="32">
        <v>0</v>
      </c>
      <c r="AG73" s="32">
        <v>0</v>
      </c>
      <c r="AH73" s="32">
        <v>5.6537727274471976</v>
      </c>
      <c r="AI73" s="32">
        <v>1.3998223756235293</v>
      </c>
      <c r="AJ73" s="32">
        <v>11.678365983182603</v>
      </c>
      <c r="AK73" s="32">
        <v>-173.62626333467296</v>
      </c>
      <c r="AL73" s="32">
        <v>-154.89430224841965</v>
      </c>
      <c r="AM73" s="32">
        <v>46.085676927482965</v>
      </c>
      <c r="AN73" s="32">
        <v>7.9361234756248979</v>
      </c>
      <c r="AO73" s="32">
        <v>5.4021800403107862</v>
      </c>
      <c r="AP73" s="32">
        <v>0</v>
      </c>
      <c r="AQ73" s="32">
        <v>59.42398044341865</v>
      </c>
      <c r="AR73" s="32">
        <v>5.6537727274471976</v>
      </c>
      <c r="AS73" s="383">
        <v>10.510500387632291</v>
      </c>
      <c r="AT73" s="32">
        <v>46.085676927482965</v>
      </c>
      <c r="AU73" s="32">
        <v>8.9775152439195693</v>
      </c>
      <c r="AV73" s="32">
        <v>5.5063192171402537</v>
      </c>
      <c r="AW73" s="32">
        <v>0</v>
      </c>
      <c r="AX73" s="32">
        <v>60.569511388542786</v>
      </c>
      <c r="AY73" s="32">
        <v>1.3998223756235293</v>
      </c>
      <c r="AZ73" s="383">
        <v>43.269426495317333</v>
      </c>
      <c r="BA73" s="32">
        <v>46.085676927482965</v>
      </c>
      <c r="BB73" s="32">
        <v>16.913638719544466</v>
      </c>
      <c r="BC73" s="32">
        <v>6.2999315647027432</v>
      </c>
      <c r="BD73" s="32">
        <v>0</v>
      </c>
      <c r="BE73" s="32">
        <v>69.299247211730176</v>
      </c>
      <c r="BF73" s="32">
        <v>7.0535951030707267</v>
      </c>
      <c r="BG73" s="32">
        <v>-12.374969865372588</v>
      </c>
      <c r="BH73" s="383">
        <v>9.8246704267957341</v>
      </c>
      <c r="BI73" s="32">
        <v>4.3295405063073131</v>
      </c>
      <c r="BJ73" s="32">
        <v>1.0719545990016988</v>
      </c>
      <c r="BK73" s="32">
        <v>8.9430475912498064</v>
      </c>
      <c r="BL73" s="32">
        <v>-132.95934879322004</v>
      </c>
      <c r="BM73" s="32">
        <v>-118.61480609666123</v>
      </c>
      <c r="BN73" s="32">
        <v>46.085676927482965</v>
      </c>
      <c r="BO73" s="32">
        <v>0</v>
      </c>
      <c r="BP73" s="32">
        <v>16.913638719544466</v>
      </c>
      <c r="BQ73" s="32">
        <v>0</v>
      </c>
      <c r="BR73" s="32">
        <v>0</v>
      </c>
      <c r="BS73" s="32">
        <v>0</v>
      </c>
      <c r="BT73" s="32">
        <v>0</v>
      </c>
      <c r="BU73" s="32">
        <v>0</v>
      </c>
      <c r="BV73" s="32">
        <v>0</v>
      </c>
      <c r="BW73" s="32">
        <v>6.2999315647027432</v>
      </c>
      <c r="BX73" s="32">
        <v>35.370266581128</v>
      </c>
      <c r="BY73" s="32"/>
      <c r="BZ73" s="32">
        <v>-190.26456882954764</v>
      </c>
      <c r="CA73" s="32">
        <v>0</v>
      </c>
      <c r="CB73" s="32">
        <v>69.299247211730176</v>
      </c>
      <c r="CC73" s="32">
        <v>-154.89430224841965</v>
      </c>
      <c r="CD73" s="383">
        <v>7.3384749715109452</v>
      </c>
      <c r="CE73" s="32">
        <v>-136.39127106734284</v>
      </c>
      <c r="CF73" s="32">
        <v>0.91283496984754209</v>
      </c>
      <c r="CG73" s="32">
        <v>0</v>
      </c>
      <c r="CH73" s="32">
        <v>0.91283496984754209</v>
      </c>
      <c r="CI73" s="32">
        <v>4.5641537249482722E-2</v>
      </c>
      <c r="CJ73" s="32">
        <v>0</v>
      </c>
      <c r="CK73" s="32">
        <v>4.5641537249482722E-2</v>
      </c>
      <c r="CL73" s="32"/>
      <c r="CM73" s="32">
        <v>0</v>
      </c>
      <c r="CN73" s="32"/>
      <c r="CO73" s="32">
        <v>0</v>
      </c>
      <c r="CP73" s="32">
        <v>0</v>
      </c>
      <c r="CQ73" s="32">
        <v>0</v>
      </c>
      <c r="CR73" s="32">
        <v>0</v>
      </c>
      <c r="CS73" s="32">
        <v>0</v>
      </c>
      <c r="CT73" s="32">
        <v>0</v>
      </c>
      <c r="CU73" s="32">
        <v>11.678365983182603</v>
      </c>
      <c r="CV73" s="32">
        <v>9999</v>
      </c>
      <c r="CW73" s="384">
        <v>0</v>
      </c>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row>
    <row r="74" spans="1:131">
      <c r="A74" s="11" t="s">
        <v>669</v>
      </c>
      <c r="B74" s="11" t="s">
        <v>533</v>
      </c>
      <c r="C74" s="32">
        <v>16.279069767441861</v>
      </c>
      <c r="D74" s="32">
        <v>67.724999999999994</v>
      </c>
      <c r="E74" s="32">
        <v>0</v>
      </c>
      <c r="F74" s="32">
        <v>28.35202601226743</v>
      </c>
      <c r="G74" s="32">
        <v>0</v>
      </c>
      <c r="H74" s="32">
        <v>-37.995719934850655</v>
      </c>
      <c r="I74" s="32" t="s">
        <v>526</v>
      </c>
      <c r="J74" s="32"/>
      <c r="K74" s="32"/>
      <c r="L74" s="32">
        <v>76.626698113721829</v>
      </c>
      <c r="M74" s="32">
        <v>1.791095079752577E-2</v>
      </c>
      <c r="N74" s="32">
        <v>1.6993311952111734E-2</v>
      </c>
      <c r="O74" s="32">
        <v>0</v>
      </c>
      <c r="P74" s="32">
        <v>0</v>
      </c>
      <c r="Q74" s="32">
        <v>0</v>
      </c>
      <c r="R74" s="32">
        <v>5.6537727274471976</v>
      </c>
      <c r="S74" s="32">
        <v>1.3998223756235293</v>
      </c>
      <c r="T74" s="32">
        <v>11.678365983182603</v>
      </c>
      <c r="U74" s="32">
        <v>16.638305494874672</v>
      </c>
      <c r="V74" s="32" t="s">
        <v>611</v>
      </c>
      <c r="W74" s="32" t="s">
        <v>611</v>
      </c>
      <c r="X74" s="32" t="s">
        <v>611</v>
      </c>
      <c r="Y74" s="32" t="s">
        <v>611</v>
      </c>
      <c r="Z74" s="32">
        <v>0</v>
      </c>
      <c r="AA74" s="32">
        <v>0</v>
      </c>
      <c r="AB74" s="32">
        <v>0</v>
      </c>
      <c r="AC74" s="32">
        <v>0</v>
      </c>
      <c r="AD74" s="32">
        <v>0</v>
      </c>
      <c r="AE74" s="32">
        <v>0</v>
      </c>
      <c r="AF74" s="32">
        <v>0</v>
      </c>
      <c r="AG74" s="32">
        <v>-37.995719934850655</v>
      </c>
      <c r="AH74" s="32">
        <v>5.6537727274471976</v>
      </c>
      <c r="AI74" s="32">
        <v>1.3998223756235293</v>
      </c>
      <c r="AJ74" s="32">
        <v>11.678365983182603</v>
      </c>
      <c r="AK74" s="32">
        <v>-21.357414439975983</v>
      </c>
      <c r="AL74" s="32">
        <v>-2.625453353722655</v>
      </c>
      <c r="AM74" s="32">
        <v>36.751868942169999</v>
      </c>
      <c r="AN74" s="32">
        <v>6.3288073286628945</v>
      </c>
      <c r="AO74" s="32">
        <v>4.3080676270832896</v>
      </c>
      <c r="AP74" s="32">
        <v>0</v>
      </c>
      <c r="AQ74" s="32">
        <v>47.388743897916186</v>
      </c>
      <c r="AR74" s="32">
        <v>5.6537727274471976</v>
      </c>
      <c r="AS74" s="383">
        <v>8.381791448365</v>
      </c>
      <c r="AT74" s="32">
        <v>36.751868942169999</v>
      </c>
      <c r="AU74" s="32">
        <v>7.1592843084421878</v>
      </c>
      <c r="AV74" s="32">
        <v>4.3911153250612189</v>
      </c>
      <c r="AW74" s="32">
        <v>0</v>
      </c>
      <c r="AX74" s="32">
        <v>48.302268575673409</v>
      </c>
      <c r="AY74" s="32">
        <v>1.3998223756235293</v>
      </c>
      <c r="AZ74" s="383">
        <v>34.505998344367022</v>
      </c>
      <c r="BA74" s="32">
        <v>36.751868942169999</v>
      </c>
      <c r="BB74" s="32">
        <v>13.488091637105082</v>
      </c>
      <c r="BC74" s="32">
        <v>5.0239960579275085</v>
      </c>
      <c r="BD74" s="32">
        <v>0</v>
      </c>
      <c r="BE74" s="32">
        <v>55.263956637202597</v>
      </c>
      <c r="BF74" s="32">
        <v>7.0535951030707267</v>
      </c>
      <c r="BG74" s="32">
        <v>-11.0031615846592</v>
      </c>
      <c r="BH74" s="383">
        <v>7.8348637580776179</v>
      </c>
      <c r="BI74" s="32">
        <v>5.4291063491790119</v>
      </c>
      <c r="BJ74" s="32">
        <v>1.3441970368434002</v>
      </c>
      <c r="BK74" s="32">
        <v>11.21429777315452</v>
      </c>
      <c r="BL74" s="32">
        <v>-20.508725753197343</v>
      </c>
      <c r="BM74" s="32">
        <v>-2.5211245940204128</v>
      </c>
      <c r="BN74" s="32">
        <v>36.751868942169999</v>
      </c>
      <c r="BO74" s="32">
        <v>0</v>
      </c>
      <c r="BP74" s="32">
        <v>13.488091637105082</v>
      </c>
      <c r="BQ74" s="32">
        <v>0</v>
      </c>
      <c r="BR74" s="32">
        <v>0</v>
      </c>
      <c r="BS74" s="32">
        <v>0</v>
      </c>
      <c r="BT74" s="32">
        <v>0</v>
      </c>
      <c r="BU74" s="32">
        <v>0</v>
      </c>
      <c r="BV74" s="32">
        <v>0</v>
      </c>
      <c r="BW74" s="32">
        <v>5.0239960579275085</v>
      </c>
      <c r="BX74" s="32">
        <v>35.370266581128</v>
      </c>
      <c r="BY74" s="32"/>
      <c r="BZ74" s="32">
        <v>0</v>
      </c>
      <c r="CA74" s="32">
        <v>-37.995719934850655</v>
      </c>
      <c r="CB74" s="32">
        <v>55.26395663720259</v>
      </c>
      <c r="CC74" s="32">
        <v>-2.625453353722655</v>
      </c>
      <c r="CD74" s="383">
        <v>2.6366687499554344</v>
      </c>
      <c r="CE74" s="32">
        <v>-20.297589564702019</v>
      </c>
      <c r="CF74" s="32">
        <v>0.72795700127082397</v>
      </c>
      <c r="CG74" s="32">
        <v>0</v>
      </c>
      <c r="CH74" s="32">
        <v>0.72795700127082397</v>
      </c>
      <c r="CI74" s="32">
        <v>3.6397681604017865E-2</v>
      </c>
      <c r="CJ74" s="32">
        <v>0</v>
      </c>
      <c r="CK74" s="32">
        <v>3.6397681604017865E-2</v>
      </c>
      <c r="CL74" s="32"/>
      <c r="CM74" s="32">
        <v>0</v>
      </c>
      <c r="CN74" s="32"/>
      <c r="CO74" s="32">
        <v>0</v>
      </c>
      <c r="CP74" s="32">
        <v>0</v>
      </c>
      <c r="CQ74" s="32">
        <v>0</v>
      </c>
      <c r="CR74" s="32">
        <v>0</v>
      </c>
      <c r="CS74" s="32">
        <v>0</v>
      </c>
      <c r="CT74" s="32">
        <v>0</v>
      </c>
      <c r="CU74" s="32">
        <v>11.678365983182603</v>
      </c>
      <c r="CV74" s="32">
        <v>9999</v>
      </c>
      <c r="CW74" s="384">
        <v>0</v>
      </c>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row>
    <row r="75" spans="1:131">
      <c r="A75" s="11" t="s">
        <v>669</v>
      </c>
      <c r="B75" s="11" t="s">
        <v>534</v>
      </c>
      <c r="C75" s="32">
        <v>16.279069767441861</v>
      </c>
      <c r="D75" s="32">
        <v>67.724999999999994</v>
      </c>
      <c r="E75" s="32">
        <v>0</v>
      </c>
      <c r="F75" s="32">
        <v>28.35202601226743</v>
      </c>
      <c r="G75" s="32">
        <v>-14</v>
      </c>
      <c r="H75" s="32">
        <v>0</v>
      </c>
      <c r="I75" s="32" t="s">
        <v>526</v>
      </c>
      <c r="J75" s="32"/>
      <c r="K75" s="32"/>
      <c r="L75" s="32">
        <v>76.626698113721829</v>
      </c>
      <c r="M75" s="32">
        <v>1.791095079752577E-2</v>
      </c>
      <c r="N75" s="32">
        <v>1.6993311952111734E-2</v>
      </c>
      <c r="O75" s="32">
        <v>0</v>
      </c>
      <c r="P75" s="32">
        <v>0</v>
      </c>
      <c r="Q75" s="32">
        <v>0</v>
      </c>
      <c r="R75" s="32">
        <v>5.6537727274471976</v>
      </c>
      <c r="S75" s="32">
        <v>1.3998223756235293</v>
      </c>
      <c r="T75" s="32">
        <v>11.678365983182603</v>
      </c>
      <c r="U75" s="32">
        <v>16.638305494874672</v>
      </c>
      <c r="V75" s="32" t="s">
        <v>611</v>
      </c>
      <c r="W75" s="32" t="s">
        <v>611</v>
      </c>
      <c r="X75" s="32" t="s">
        <v>611</v>
      </c>
      <c r="Y75" s="32" t="s">
        <v>611</v>
      </c>
      <c r="Z75" s="32">
        <v>0</v>
      </c>
      <c r="AA75" s="32">
        <v>0</v>
      </c>
      <c r="AB75" s="32">
        <v>0</v>
      </c>
      <c r="AC75" s="32">
        <v>-190.26456882954764</v>
      </c>
      <c r="AD75" s="32">
        <v>0</v>
      </c>
      <c r="AE75" s="32">
        <v>0</v>
      </c>
      <c r="AF75" s="32">
        <v>0</v>
      </c>
      <c r="AG75" s="32">
        <v>0</v>
      </c>
      <c r="AH75" s="32">
        <v>5.6537727274471976</v>
      </c>
      <c r="AI75" s="32">
        <v>1.3998223756235293</v>
      </c>
      <c r="AJ75" s="32">
        <v>11.678365983182603</v>
      </c>
      <c r="AK75" s="32">
        <v>-173.62626333467296</v>
      </c>
      <c r="AL75" s="32">
        <v>-154.89430224841965</v>
      </c>
      <c r="AM75" s="32">
        <v>36.751868942169999</v>
      </c>
      <c r="AN75" s="32">
        <v>6.3288073286628945</v>
      </c>
      <c r="AO75" s="32">
        <v>4.3080676270832896</v>
      </c>
      <c r="AP75" s="32">
        <v>0</v>
      </c>
      <c r="AQ75" s="32">
        <v>47.388743897916186</v>
      </c>
      <c r="AR75" s="32">
        <v>5.6537727274471976</v>
      </c>
      <c r="AS75" s="383">
        <v>8.381791448365</v>
      </c>
      <c r="AT75" s="32">
        <v>36.751868942169999</v>
      </c>
      <c r="AU75" s="32">
        <v>7.1592843084421878</v>
      </c>
      <c r="AV75" s="32">
        <v>4.3911153250612189</v>
      </c>
      <c r="AW75" s="32">
        <v>0</v>
      </c>
      <c r="AX75" s="32">
        <v>48.302268575673409</v>
      </c>
      <c r="AY75" s="32">
        <v>1.3998223756235293</v>
      </c>
      <c r="AZ75" s="383">
        <v>34.505998344367022</v>
      </c>
      <c r="BA75" s="32">
        <v>36.751868942169999</v>
      </c>
      <c r="BB75" s="32">
        <v>13.488091637105082</v>
      </c>
      <c r="BC75" s="32">
        <v>5.0239960579275085</v>
      </c>
      <c r="BD75" s="32">
        <v>0</v>
      </c>
      <c r="BE75" s="32">
        <v>55.263956637202597</v>
      </c>
      <c r="BF75" s="32">
        <v>7.0535951030707267</v>
      </c>
      <c r="BG75" s="32">
        <v>-11.0031615846592</v>
      </c>
      <c r="BH75" s="383">
        <v>7.8348637580776179</v>
      </c>
      <c r="BI75" s="32">
        <v>5.4291063491790119</v>
      </c>
      <c r="BJ75" s="32">
        <v>1.3441970368434002</v>
      </c>
      <c r="BK75" s="32">
        <v>11.21429777315452</v>
      </c>
      <c r="BL75" s="32">
        <v>-166.72680245499021</v>
      </c>
      <c r="BM75" s="32">
        <v>-148.7392012958133</v>
      </c>
      <c r="BN75" s="32">
        <v>36.751868942169999</v>
      </c>
      <c r="BO75" s="32">
        <v>0</v>
      </c>
      <c r="BP75" s="32">
        <v>13.488091637105082</v>
      </c>
      <c r="BQ75" s="32">
        <v>0</v>
      </c>
      <c r="BR75" s="32">
        <v>0</v>
      </c>
      <c r="BS75" s="32">
        <v>0</v>
      </c>
      <c r="BT75" s="32">
        <v>0</v>
      </c>
      <c r="BU75" s="32">
        <v>0</v>
      </c>
      <c r="BV75" s="32">
        <v>0</v>
      </c>
      <c r="BW75" s="32">
        <v>5.0239960579275085</v>
      </c>
      <c r="BX75" s="32">
        <v>35.370266581128</v>
      </c>
      <c r="BY75" s="32"/>
      <c r="BZ75" s="32">
        <v>-190.26456882954764</v>
      </c>
      <c r="CA75" s="32">
        <v>0</v>
      </c>
      <c r="CB75" s="32">
        <v>55.26395663720259</v>
      </c>
      <c r="CC75" s="32">
        <v>-154.89430224841965</v>
      </c>
      <c r="CD75" s="383">
        <v>6.9416645448115828</v>
      </c>
      <c r="CE75" s="32">
        <v>-166.51566626649489</v>
      </c>
      <c r="CF75" s="32">
        <v>0.72795700127082397</v>
      </c>
      <c r="CG75" s="32">
        <v>0</v>
      </c>
      <c r="CH75" s="32">
        <v>0.72795700127082397</v>
      </c>
      <c r="CI75" s="32">
        <v>3.6397681604017865E-2</v>
      </c>
      <c r="CJ75" s="32">
        <v>0</v>
      </c>
      <c r="CK75" s="32">
        <v>3.6397681604017865E-2</v>
      </c>
      <c r="CL75" s="32"/>
      <c r="CM75" s="32">
        <v>0</v>
      </c>
      <c r="CN75" s="32"/>
      <c r="CO75" s="32">
        <v>0</v>
      </c>
      <c r="CP75" s="32">
        <v>0</v>
      </c>
      <c r="CQ75" s="32">
        <v>0</v>
      </c>
      <c r="CR75" s="32">
        <v>0</v>
      </c>
      <c r="CS75" s="32">
        <v>0</v>
      </c>
      <c r="CT75" s="32">
        <v>0</v>
      </c>
      <c r="CU75" s="32">
        <v>11.678365983182603</v>
      </c>
      <c r="CV75" s="32">
        <v>9999</v>
      </c>
      <c r="CW75" s="384">
        <v>0</v>
      </c>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row>
    <row r="76" spans="1:131">
      <c r="A76" s="11" t="s">
        <v>670</v>
      </c>
      <c r="B76" s="11" t="s">
        <v>844</v>
      </c>
      <c r="C76" s="32">
        <v>16.279069767441861</v>
      </c>
      <c r="D76" s="32">
        <v>204.25</v>
      </c>
      <c r="E76" s="32">
        <v>0</v>
      </c>
      <c r="F76" s="32">
        <v>81.005788606478362</v>
      </c>
      <c r="G76" s="32">
        <v>0</v>
      </c>
      <c r="H76" s="32">
        <v>-78.952145319170185</v>
      </c>
      <c r="I76" s="32" t="s">
        <v>526</v>
      </c>
      <c r="J76" s="32"/>
      <c r="K76" s="32"/>
      <c r="L76" s="32">
        <v>231.09639113662143</v>
      </c>
      <c r="M76" s="32">
        <v>5.4017153198887245E-2</v>
      </c>
      <c r="N76" s="32">
        <v>5.1249670966686187E-2</v>
      </c>
      <c r="O76" s="32">
        <v>0</v>
      </c>
      <c r="P76" s="32">
        <v>0</v>
      </c>
      <c r="Q76" s="32">
        <v>0</v>
      </c>
      <c r="R76" s="32">
        <v>16.153636364134851</v>
      </c>
      <c r="S76" s="32">
        <v>3.9994925017815115</v>
      </c>
      <c r="T76" s="32">
        <v>33.366759951950286</v>
      </c>
      <c r="U76" s="32">
        <v>47.538015699641917</v>
      </c>
      <c r="V76" s="32" t="s">
        <v>611</v>
      </c>
      <c r="W76" s="32" t="s">
        <v>611</v>
      </c>
      <c r="X76" s="32" t="s">
        <v>611</v>
      </c>
      <c r="Y76" s="32" t="s">
        <v>611</v>
      </c>
      <c r="Z76" s="32">
        <v>0</v>
      </c>
      <c r="AA76" s="32">
        <v>0</v>
      </c>
      <c r="AB76" s="32">
        <v>0</v>
      </c>
      <c r="AC76" s="32">
        <v>0</v>
      </c>
      <c r="AD76" s="32">
        <v>0</v>
      </c>
      <c r="AE76" s="32">
        <v>0</v>
      </c>
      <c r="AF76" s="32">
        <v>0</v>
      </c>
      <c r="AG76" s="32">
        <v>-78.952145319170185</v>
      </c>
      <c r="AH76" s="32">
        <v>16.153636364134851</v>
      </c>
      <c r="AI76" s="32">
        <v>3.9994925017815115</v>
      </c>
      <c r="AJ76" s="32">
        <v>33.366759951950286</v>
      </c>
      <c r="AK76" s="32">
        <v>-31.414129619528268</v>
      </c>
      <c r="AL76" s="32">
        <v>22.105759198338376</v>
      </c>
      <c r="AM76" s="32">
        <v>110.83896982559205</v>
      </c>
      <c r="AN76" s="32">
        <v>19.086879245173812</v>
      </c>
      <c r="AO76" s="32">
        <v>12.992584907076587</v>
      </c>
      <c r="AP76" s="32">
        <v>0</v>
      </c>
      <c r="AQ76" s="32">
        <v>142.91843397784243</v>
      </c>
      <c r="AR76" s="32">
        <v>16.153636364134851</v>
      </c>
      <c r="AS76" s="383">
        <v>8.8474465288297193</v>
      </c>
      <c r="AT76" s="32">
        <v>110.83896982559205</v>
      </c>
      <c r="AU76" s="32">
        <v>21.591492358793907</v>
      </c>
      <c r="AV76" s="32">
        <v>13.243046218438597</v>
      </c>
      <c r="AW76" s="32">
        <v>0</v>
      </c>
      <c r="AX76" s="32">
        <v>145.67350840282455</v>
      </c>
      <c r="AY76" s="32">
        <v>3.9994925017815115</v>
      </c>
      <c r="AZ76" s="383">
        <v>36.422998252387416</v>
      </c>
      <c r="BA76" s="32">
        <v>110.83896982559205</v>
      </c>
      <c r="BB76" s="32">
        <v>40.678371603967719</v>
      </c>
      <c r="BC76" s="32">
        <v>15.151734142955977</v>
      </c>
      <c r="BD76" s="32">
        <v>0</v>
      </c>
      <c r="BE76" s="32">
        <v>166.66907557251574</v>
      </c>
      <c r="BF76" s="32">
        <v>20.153128865916361</v>
      </c>
      <c r="BG76" s="32">
        <v>-11.359651236555111</v>
      </c>
      <c r="BH76" s="383">
        <v>8.2701339668597065</v>
      </c>
      <c r="BI76" s="32">
        <v>5.1433639097485369</v>
      </c>
      <c r="BJ76" s="32">
        <v>1.2734498243779575</v>
      </c>
      <c r="BK76" s="32">
        <v>10.624071574567434</v>
      </c>
      <c r="BL76" s="32">
        <v>-10.002348505255444</v>
      </c>
      <c r="BM76" s="32">
        <v>7.0385368034384825</v>
      </c>
      <c r="BN76" s="32">
        <v>110.83896982559205</v>
      </c>
      <c r="BO76" s="32">
        <v>0</v>
      </c>
      <c r="BP76" s="32">
        <v>40.678371603967719</v>
      </c>
      <c r="BQ76" s="32">
        <v>0</v>
      </c>
      <c r="BR76" s="32">
        <v>0</v>
      </c>
      <c r="BS76" s="32">
        <v>0</v>
      </c>
      <c r="BT76" s="32">
        <v>0</v>
      </c>
      <c r="BU76" s="32">
        <v>0</v>
      </c>
      <c r="BV76" s="32">
        <v>0</v>
      </c>
      <c r="BW76" s="32">
        <v>15.151734142955977</v>
      </c>
      <c r="BX76" s="32">
        <v>101.05790451750856</v>
      </c>
      <c r="BY76" s="32"/>
      <c r="BZ76" s="32">
        <v>0</v>
      </c>
      <c r="CA76" s="32">
        <v>-78.952145319170185</v>
      </c>
      <c r="CB76" s="32">
        <v>166.66907557251574</v>
      </c>
      <c r="CC76" s="32">
        <v>22.105759198338376</v>
      </c>
      <c r="CD76" s="383">
        <v>2.4304998412977321</v>
      </c>
      <c r="CE76" s="32">
        <v>-10.737928167243119</v>
      </c>
      <c r="CF76" s="32">
        <v>2.1954258768485122</v>
      </c>
      <c r="CG76" s="32">
        <v>0</v>
      </c>
      <c r="CH76" s="32">
        <v>2.1954258768485122</v>
      </c>
      <c r="CI76" s="32">
        <v>0.10977078578989516</v>
      </c>
      <c r="CJ76" s="32">
        <v>0</v>
      </c>
      <c r="CK76" s="32">
        <v>0.10977078578989516</v>
      </c>
      <c r="CL76" s="32"/>
      <c r="CM76" s="32">
        <v>0</v>
      </c>
      <c r="CN76" s="32"/>
      <c r="CO76" s="32">
        <v>0</v>
      </c>
      <c r="CP76" s="32">
        <v>0</v>
      </c>
      <c r="CQ76" s="32">
        <v>0</v>
      </c>
      <c r="CR76" s="32">
        <v>0</v>
      </c>
      <c r="CS76" s="32">
        <v>0</v>
      </c>
      <c r="CT76" s="32">
        <v>0</v>
      </c>
      <c r="CU76" s="32">
        <v>33.366759951950286</v>
      </c>
      <c r="CV76" s="32">
        <v>9999</v>
      </c>
      <c r="CW76" s="384">
        <v>0</v>
      </c>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row>
    <row r="77" spans="1:131">
      <c r="A77" s="11" t="s">
        <v>670</v>
      </c>
      <c r="B77" s="11" t="s">
        <v>845</v>
      </c>
      <c r="C77" s="32">
        <v>16.279069767441861</v>
      </c>
      <c r="D77" s="32">
        <v>204.25</v>
      </c>
      <c r="E77" s="32">
        <v>0</v>
      </c>
      <c r="F77" s="32">
        <v>81.005788606478362</v>
      </c>
      <c r="G77" s="32">
        <v>-28</v>
      </c>
      <c r="H77" s="32">
        <v>0</v>
      </c>
      <c r="I77" s="32" t="s">
        <v>526</v>
      </c>
      <c r="J77" s="32"/>
      <c r="K77" s="32"/>
      <c r="L77" s="32">
        <v>231.09639113662143</v>
      </c>
      <c r="M77" s="32">
        <v>5.4017153198887245E-2</v>
      </c>
      <c r="N77" s="32">
        <v>5.1249670966686187E-2</v>
      </c>
      <c r="O77" s="32">
        <v>0</v>
      </c>
      <c r="P77" s="32">
        <v>0</v>
      </c>
      <c r="Q77" s="32">
        <v>0</v>
      </c>
      <c r="R77" s="32">
        <v>16.153636364134851</v>
      </c>
      <c r="S77" s="32">
        <v>3.9994925017815115</v>
      </c>
      <c r="T77" s="32">
        <v>33.366759951950286</v>
      </c>
      <c r="U77" s="32">
        <v>47.538015699641917</v>
      </c>
      <c r="V77" s="32" t="s">
        <v>611</v>
      </c>
      <c r="W77" s="32" t="s">
        <v>611</v>
      </c>
      <c r="X77" s="32" t="s">
        <v>611</v>
      </c>
      <c r="Y77" s="32" t="s">
        <v>611</v>
      </c>
      <c r="Z77" s="32">
        <v>0</v>
      </c>
      <c r="AA77" s="32">
        <v>0</v>
      </c>
      <c r="AB77" s="32">
        <v>0</v>
      </c>
      <c r="AC77" s="32">
        <v>-380.52913765909528</v>
      </c>
      <c r="AD77" s="32">
        <v>0</v>
      </c>
      <c r="AE77" s="32">
        <v>0</v>
      </c>
      <c r="AF77" s="32">
        <v>0</v>
      </c>
      <c r="AG77" s="32">
        <v>0</v>
      </c>
      <c r="AH77" s="32">
        <v>16.153636364134851</v>
      </c>
      <c r="AI77" s="32">
        <v>3.9994925017815115</v>
      </c>
      <c r="AJ77" s="32">
        <v>33.366759951950286</v>
      </c>
      <c r="AK77" s="32">
        <v>-332.99112195945338</v>
      </c>
      <c r="AL77" s="32">
        <v>-279.47123314158671</v>
      </c>
      <c r="AM77" s="32">
        <v>110.83896982559205</v>
      </c>
      <c r="AN77" s="32">
        <v>19.086879245173812</v>
      </c>
      <c r="AO77" s="32">
        <v>12.992584907076587</v>
      </c>
      <c r="AP77" s="32">
        <v>0</v>
      </c>
      <c r="AQ77" s="32">
        <v>142.91843397784243</v>
      </c>
      <c r="AR77" s="32">
        <v>16.153636364134851</v>
      </c>
      <c r="AS77" s="383">
        <v>8.8474465288297193</v>
      </c>
      <c r="AT77" s="32">
        <v>110.83896982559205</v>
      </c>
      <c r="AU77" s="32">
        <v>21.591492358793907</v>
      </c>
      <c r="AV77" s="32">
        <v>13.243046218438597</v>
      </c>
      <c r="AW77" s="32">
        <v>0</v>
      </c>
      <c r="AX77" s="32">
        <v>145.67350840282455</v>
      </c>
      <c r="AY77" s="32">
        <v>3.9994925017815115</v>
      </c>
      <c r="AZ77" s="383">
        <v>36.422998252387416</v>
      </c>
      <c r="BA77" s="32">
        <v>110.83896982559205</v>
      </c>
      <c r="BB77" s="32">
        <v>40.678371603967719</v>
      </c>
      <c r="BC77" s="32">
        <v>15.151734142955977</v>
      </c>
      <c r="BD77" s="32">
        <v>0</v>
      </c>
      <c r="BE77" s="32">
        <v>166.66907557251574</v>
      </c>
      <c r="BF77" s="32">
        <v>20.153128865916361</v>
      </c>
      <c r="BG77" s="32">
        <v>-11.359651236555111</v>
      </c>
      <c r="BH77" s="383">
        <v>8.2701339668597065</v>
      </c>
      <c r="BI77" s="32">
        <v>5.1433639097485369</v>
      </c>
      <c r="BJ77" s="32">
        <v>1.2734498243779575</v>
      </c>
      <c r="BK77" s="32">
        <v>10.624071574567434</v>
      </c>
      <c r="BL77" s="32">
        <v>-106.02532336035124</v>
      </c>
      <c r="BM77" s="32">
        <v>-88.984438051657307</v>
      </c>
      <c r="BN77" s="32">
        <v>110.83896982559205</v>
      </c>
      <c r="BO77" s="32">
        <v>0</v>
      </c>
      <c r="BP77" s="32">
        <v>40.678371603967719</v>
      </c>
      <c r="BQ77" s="32">
        <v>0</v>
      </c>
      <c r="BR77" s="32">
        <v>0</v>
      </c>
      <c r="BS77" s="32">
        <v>0</v>
      </c>
      <c r="BT77" s="32">
        <v>0</v>
      </c>
      <c r="BU77" s="32">
        <v>0</v>
      </c>
      <c r="BV77" s="32">
        <v>0</v>
      </c>
      <c r="BW77" s="32">
        <v>15.151734142955977</v>
      </c>
      <c r="BX77" s="32">
        <v>101.05790451750856</v>
      </c>
      <c r="BY77" s="32"/>
      <c r="BZ77" s="32">
        <v>-380.52913765909528</v>
      </c>
      <c r="CA77" s="32">
        <v>0</v>
      </c>
      <c r="CB77" s="32">
        <v>166.66907557251574</v>
      </c>
      <c r="CC77" s="32">
        <v>-279.47123314158671</v>
      </c>
      <c r="CD77" s="383">
        <v>5.4146997787472175</v>
      </c>
      <c r="CE77" s="32">
        <v>-106.76090302233889</v>
      </c>
      <c r="CF77" s="32">
        <v>2.1954258768485122</v>
      </c>
      <c r="CG77" s="32">
        <v>0</v>
      </c>
      <c r="CH77" s="32">
        <v>2.1954258768485122</v>
      </c>
      <c r="CI77" s="32">
        <v>0.10977078578989516</v>
      </c>
      <c r="CJ77" s="32">
        <v>0</v>
      </c>
      <c r="CK77" s="32">
        <v>0.10977078578989516</v>
      </c>
      <c r="CL77" s="32"/>
      <c r="CM77" s="32">
        <v>0</v>
      </c>
      <c r="CN77" s="32"/>
      <c r="CO77" s="32">
        <v>0</v>
      </c>
      <c r="CP77" s="32">
        <v>0</v>
      </c>
      <c r="CQ77" s="32">
        <v>0</v>
      </c>
      <c r="CR77" s="32">
        <v>0</v>
      </c>
      <c r="CS77" s="32">
        <v>0</v>
      </c>
      <c r="CT77" s="32">
        <v>0</v>
      </c>
      <c r="CU77" s="32">
        <v>33.366759951950286</v>
      </c>
      <c r="CV77" s="32">
        <v>9999</v>
      </c>
      <c r="CW77" s="384">
        <v>0</v>
      </c>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row>
    <row r="78" spans="1:131">
      <c r="A78" s="11" t="s">
        <v>671</v>
      </c>
      <c r="B78" s="11" t="s">
        <v>846</v>
      </c>
      <c r="C78" s="32">
        <v>16.279069767441861</v>
      </c>
      <c r="D78" s="32">
        <v>333.25</v>
      </c>
      <c r="E78" s="32">
        <v>0</v>
      </c>
      <c r="F78" s="32">
        <v>81.005788606478362</v>
      </c>
      <c r="G78" s="32">
        <v>0</v>
      </c>
      <c r="H78" s="32">
        <v>-78.952145319170185</v>
      </c>
      <c r="I78" s="32" t="s">
        <v>526</v>
      </c>
      <c r="J78" s="32"/>
      <c r="K78" s="32"/>
      <c r="L78" s="32">
        <v>377.0520065913297</v>
      </c>
      <c r="M78" s="32">
        <v>8.8133249956079199E-2</v>
      </c>
      <c r="N78" s="32">
        <v>8.3617884208803783E-2</v>
      </c>
      <c r="O78" s="32">
        <v>0</v>
      </c>
      <c r="P78" s="32">
        <v>0</v>
      </c>
      <c r="Q78" s="32">
        <v>0</v>
      </c>
      <c r="R78" s="32">
        <v>16.153636364134851</v>
      </c>
      <c r="S78" s="32">
        <v>3.9994925017815115</v>
      </c>
      <c r="T78" s="32">
        <v>33.366759951950286</v>
      </c>
      <c r="U78" s="32">
        <v>47.538015699641917</v>
      </c>
      <c r="V78" s="32" t="s">
        <v>611</v>
      </c>
      <c r="W78" s="32" t="s">
        <v>611</v>
      </c>
      <c r="X78" s="32" t="s">
        <v>611</v>
      </c>
      <c r="Y78" s="32" t="s">
        <v>611</v>
      </c>
      <c r="Z78" s="32">
        <v>0</v>
      </c>
      <c r="AA78" s="32">
        <v>0</v>
      </c>
      <c r="AB78" s="32">
        <v>0</v>
      </c>
      <c r="AC78" s="32">
        <v>0</v>
      </c>
      <c r="AD78" s="32">
        <v>0</v>
      </c>
      <c r="AE78" s="32">
        <v>0</v>
      </c>
      <c r="AF78" s="32">
        <v>0</v>
      </c>
      <c r="AG78" s="32">
        <v>-78.952145319170185</v>
      </c>
      <c r="AH78" s="32">
        <v>16.153636364134851</v>
      </c>
      <c r="AI78" s="32">
        <v>3.9994925017815115</v>
      </c>
      <c r="AJ78" s="32">
        <v>33.366759951950286</v>
      </c>
      <c r="AK78" s="32">
        <v>-31.414129619528268</v>
      </c>
      <c r="AL78" s="32">
        <v>22.105759198338376</v>
      </c>
      <c r="AM78" s="32">
        <v>180.84252971543961</v>
      </c>
      <c r="AN78" s="32">
        <v>31.141750347388854</v>
      </c>
      <c r="AO78" s="32">
        <v>21.198428006282846</v>
      </c>
      <c r="AP78" s="32">
        <v>0</v>
      </c>
      <c r="AQ78" s="32">
        <v>233.18270806911133</v>
      </c>
      <c r="AR78" s="32">
        <v>16.153636364134851</v>
      </c>
      <c r="AS78" s="383">
        <v>14.435307494406386</v>
      </c>
      <c r="AT78" s="32">
        <v>180.84252971543961</v>
      </c>
      <c r="AU78" s="32">
        <v>35.228224374874266</v>
      </c>
      <c r="AV78" s="32">
        <v>21.607075409031388</v>
      </c>
      <c r="AW78" s="32">
        <v>0</v>
      </c>
      <c r="AX78" s="32">
        <v>237.67782949934525</v>
      </c>
      <c r="AY78" s="32">
        <v>3.9994925017815115</v>
      </c>
      <c r="AZ78" s="383">
        <v>59.426997148632076</v>
      </c>
      <c r="BA78" s="32">
        <v>180.84252971543961</v>
      </c>
      <c r="BB78" s="32">
        <v>66.369974722263123</v>
      </c>
      <c r="BC78" s="32">
        <v>24.721250443770273</v>
      </c>
      <c r="BD78" s="32">
        <v>0</v>
      </c>
      <c r="BE78" s="32">
        <v>271.93375488147302</v>
      </c>
      <c r="BF78" s="32">
        <v>20.153128865916361</v>
      </c>
      <c r="BG78" s="32">
        <v>-13.843579133636334</v>
      </c>
      <c r="BH78" s="383">
        <v>13.493376472244783</v>
      </c>
      <c r="BI78" s="32">
        <v>3.1523843317813611</v>
      </c>
      <c r="BJ78" s="32">
        <v>0.78050150526390938</v>
      </c>
      <c r="BK78" s="32">
        <v>6.511527739251008</v>
      </c>
      <c r="BL78" s="32">
        <v>-6.1304716645114015</v>
      </c>
      <c r="BM78" s="32">
        <v>4.3139419117848767</v>
      </c>
      <c r="BN78" s="32">
        <v>180.84252971543961</v>
      </c>
      <c r="BO78" s="32">
        <v>0</v>
      </c>
      <c r="BP78" s="32">
        <v>66.369974722263123</v>
      </c>
      <c r="BQ78" s="32">
        <v>0</v>
      </c>
      <c r="BR78" s="32">
        <v>0</v>
      </c>
      <c r="BS78" s="32">
        <v>0</v>
      </c>
      <c r="BT78" s="32">
        <v>0</v>
      </c>
      <c r="BU78" s="32">
        <v>0</v>
      </c>
      <c r="BV78" s="32">
        <v>0</v>
      </c>
      <c r="BW78" s="32">
        <v>24.721250443770273</v>
      </c>
      <c r="BX78" s="32">
        <v>101.05790451750856</v>
      </c>
      <c r="BY78" s="32"/>
      <c r="BZ78" s="32">
        <v>0</v>
      </c>
      <c r="CA78" s="32">
        <v>-78.952145319170185</v>
      </c>
      <c r="CB78" s="32">
        <v>271.93375488147302</v>
      </c>
      <c r="CC78" s="32">
        <v>22.105759198338376</v>
      </c>
      <c r="CD78" s="383">
        <v>3.4721272113835608</v>
      </c>
      <c r="CE78" s="32">
        <v>-13.46252305889673</v>
      </c>
      <c r="CF78" s="32">
        <v>3.5820106411738895</v>
      </c>
      <c r="CG78" s="32">
        <v>0</v>
      </c>
      <c r="CH78" s="32">
        <v>3.5820106411738895</v>
      </c>
      <c r="CI78" s="32">
        <v>0.17909970313088158</v>
      </c>
      <c r="CJ78" s="32">
        <v>0</v>
      </c>
      <c r="CK78" s="32">
        <v>0.17909970313088158</v>
      </c>
      <c r="CL78" s="32"/>
      <c r="CM78" s="32">
        <v>0</v>
      </c>
      <c r="CN78" s="32"/>
      <c r="CO78" s="32">
        <v>0</v>
      </c>
      <c r="CP78" s="32">
        <v>0</v>
      </c>
      <c r="CQ78" s="32">
        <v>0</v>
      </c>
      <c r="CR78" s="32">
        <v>0</v>
      </c>
      <c r="CS78" s="32">
        <v>0</v>
      </c>
      <c r="CT78" s="32">
        <v>0</v>
      </c>
      <c r="CU78" s="32">
        <v>33.366759951950286</v>
      </c>
      <c r="CV78" s="32">
        <v>9999</v>
      </c>
      <c r="CW78" s="384">
        <v>0</v>
      </c>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row>
    <row r="79" spans="1:131">
      <c r="A79" s="11" t="s">
        <v>671</v>
      </c>
      <c r="B79" s="11" t="s">
        <v>847</v>
      </c>
      <c r="C79" s="32">
        <v>16.279069767441861</v>
      </c>
      <c r="D79" s="32">
        <v>333.25</v>
      </c>
      <c r="E79" s="32">
        <v>0</v>
      </c>
      <c r="F79" s="32">
        <v>81.005788606478362</v>
      </c>
      <c r="G79" s="32">
        <v>-28</v>
      </c>
      <c r="H79" s="32">
        <v>0</v>
      </c>
      <c r="I79" s="32" t="s">
        <v>526</v>
      </c>
      <c r="J79" s="32"/>
      <c r="K79" s="32"/>
      <c r="L79" s="32">
        <v>377.0520065913297</v>
      </c>
      <c r="M79" s="32">
        <v>8.8133249956079199E-2</v>
      </c>
      <c r="N79" s="32">
        <v>8.3617884208803783E-2</v>
      </c>
      <c r="O79" s="32">
        <v>0</v>
      </c>
      <c r="P79" s="32">
        <v>0</v>
      </c>
      <c r="Q79" s="32">
        <v>0</v>
      </c>
      <c r="R79" s="32">
        <v>16.153636364134851</v>
      </c>
      <c r="S79" s="32">
        <v>3.9994925017815115</v>
      </c>
      <c r="T79" s="32">
        <v>33.366759951950286</v>
      </c>
      <c r="U79" s="32">
        <v>47.538015699641917</v>
      </c>
      <c r="V79" s="32" t="s">
        <v>611</v>
      </c>
      <c r="W79" s="32" t="s">
        <v>611</v>
      </c>
      <c r="X79" s="32" t="s">
        <v>611</v>
      </c>
      <c r="Y79" s="32" t="s">
        <v>611</v>
      </c>
      <c r="Z79" s="32">
        <v>0</v>
      </c>
      <c r="AA79" s="32">
        <v>0</v>
      </c>
      <c r="AB79" s="32">
        <v>0</v>
      </c>
      <c r="AC79" s="32">
        <v>-380.52913765909528</v>
      </c>
      <c r="AD79" s="32">
        <v>0</v>
      </c>
      <c r="AE79" s="32">
        <v>0</v>
      </c>
      <c r="AF79" s="32">
        <v>0</v>
      </c>
      <c r="AG79" s="32">
        <v>0</v>
      </c>
      <c r="AH79" s="32">
        <v>16.153636364134851</v>
      </c>
      <c r="AI79" s="32">
        <v>3.9994925017815115</v>
      </c>
      <c r="AJ79" s="32">
        <v>33.366759951950286</v>
      </c>
      <c r="AK79" s="32">
        <v>-332.99112195945338</v>
      </c>
      <c r="AL79" s="32">
        <v>-279.47123314158671</v>
      </c>
      <c r="AM79" s="32">
        <v>180.84252971543961</v>
      </c>
      <c r="AN79" s="32">
        <v>31.141750347388854</v>
      </c>
      <c r="AO79" s="32">
        <v>21.198428006282846</v>
      </c>
      <c r="AP79" s="32">
        <v>0</v>
      </c>
      <c r="AQ79" s="32">
        <v>233.18270806911133</v>
      </c>
      <c r="AR79" s="32">
        <v>16.153636364134851</v>
      </c>
      <c r="AS79" s="383">
        <v>14.435307494406386</v>
      </c>
      <c r="AT79" s="32">
        <v>180.84252971543961</v>
      </c>
      <c r="AU79" s="32">
        <v>35.228224374874266</v>
      </c>
      <c r="AV79" s="32">
        <v>21.607075409031388</v>
      </c>
      <c r="AW79" s="32">
        <v>0</v>
      </c>
      <c r="AX79" s="32">
        <v>237.67782949934525</v>
      </c>
      <c r="AY79" s="32">
        <v>3.9994925017815115</v>
      </c>
      <c r="AZ79" s="383">
        <v>59.426997148632076</v>
      </c>
      <c r="BA79" s="32">
        <v>180.84252971543961</v>
      </c>
      <c r="BB79" s="32">
        <v>66.369974722263123</v>
      </c>
      <c r="BC79" s="32">
        <v>24.721250443770273</v>
      </c>
      <c r="BD79" s="32">
        <v>0</v>
      </c>
      <c r="BE79" s="32">
        <v>271.93375488147302</v>
      </c>
      <c r="BF79" s="32">
        <v>20.153128865916361</v>
      </c>
      <c r="BG79" s="32">
        <v>-13.843579133636334</v>
      </c>
      <c r="BH79" s="383">
        <v>13.493376472244783</v>
      </c>
      <c r="BI79" s="32">
        <v>3.1523843317813611</v>
      </c>
      <c r="BJ79" s="32">
        <v>0.78050150526390938</v>
      </c>
      <c r="BK79" s="32">
        <v>6.511527739251008</v>
      </c>
      <c r="BL79" s="32">
        <v>-64.983262704731402</v>
      </c>
      <c r="BM79" s="32">
        <v>-54.538849128435118</v>
      </c>
      <c r="BN79" s="32">
        <v>180.84252971543961</v>
      </c>
      <c r="BO79" s="32">
        <v>0</v>
      </c>
      <c r="BP79" s="32">
        <v>66.369974722263123</v>
      </c>
      <c r="BQ79" s="32">
        <v>0</v>
      </c>
      <c r="BR79" s="32">
        <v>0</v>
      </c>
      <c r="BS79" s="32">
        <v>0</v>
      </c>
      <c r="BT79" s="32">
        <v>0</v>
      </c>
      <c r="BU79" s="32">
        <v>0</v>
      </c>
      <c r="BV79" s="32">
        <v>0</v>
      </c>
      <c r="BW79" s="32">
        <v>24.721250443770273</v>
      </c>
      <c r="BX79" s="32">
        <v>101.05790451750856</v>
      </c>
      <c r="BY79" s="32"/>
      <c r="BZ79" s="32">
        <v>-380.52913765909528</v>
      </c>
      <c r="CA79" s="32">
        <v>0</v>
      </c>
      <c r="CB79" s="32">
        <v>271.93375488147302</v>
      </c>
      <c r="CC79" s="32">
        <v>-279.47123314158671</v>
      </c>
      <c r="CD79" s="383">
        <v>6.4563271488330463</v>
      </c>
      <c r="CE79" s="32">
        <v>-72.315314099116733</v>
      </c>
      <c r="CF79" s="32">
        <v>3.5820106411738895</v>
      </c>
      <c r="CG79" s="32">
        <v>0</v>
      </c>
      <c r="CH79" s="32">
        <v>3.5820106411738895</v>
      </c>
      <c r="CI79" s="32">
        <v>0.17909970313088158</v>
      </c>
      <c r="CJ79" s="32">
        <v>0</v>
      </c>
      <c r="CK79" s="32">
        <v>0.17909970313088158</v>
      </c>
      <c r="CL79" s="32"/>
      <c r="CM79" s="32">
        <v>0</v>
      </c>
      <c r="CN79" s="32"/>
      <c r="CO79" s="32">
        <v>0</v>
      </c>
      <c r="CP79" s="32">
        <v>0</v>
      </c>
      <c r="CQ79" s="32">
        <v>0</v>
      </c>
      <c r="CR79" s="32">
        <v>0</v>
      </c>
      <c r="CS79" s="32">
        <v>0</v>
      </c>
      <c r="CT79" s="32">
        <v>0</v>
      </c>
      <c r="CU79" s="32">
        <v>33.366759951950286</v>
      </c>
      <c r="CV79" s="32">
        <v>9999</v>
      </c>
      <c r="CW79" s="384">
        <v>0</v>
      </c>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row>
    <row r="80" spans="1:131">
      <c r="A80" s="11" t="s">
        <v>672</v>
      </c>
      <c r="B80" s="11" t="s">
        <v>957</v>
      </c>
      <c r="C80" s="32">
        <v>16.279069767441861</v>
      </c>
      <c r="D80" s="32">
        <v>597.70000000000005</v>
      </c>
      <c r="E80" s="32">
        <v>0</v>
      </c>
      <c r="F80" s="32">
        <v>162.01157721295672</v>
      </c>
      <c r="G80" s="32">
        <v>0</v>
      </c>
      <c r="H80" s="32">
        <v>-88.191149031623709</v>
      </c>
      <c r="I80" s="32" t="s">
        <v>526</v>
      </c>
      <c r="J80" s="32"/>
      <c r="K80" s="32"/>
      <c r="L80" s="32">
        <v>676.26101827348168</v>
      </c>
      <c r="M80" s="32">
        <v>0.1580712483083227</v>
      </c>
      <c r="N80" s="32">
        <v>0.14997272135514486</v>
      </c>
      <c r="O80" s="32">
        <v>0</v>
      </c>
      <c r="P80" s="32">
        <v>0</v>
      </c>
      <c r="Q80" s="32">
        <v>0</v>
      </c>
      <c r="R80" s="32">
        <v>32.307272728269702</v>
      </c>
      <c r="S80" s="32">
        <v>7.998985003563023</v>
      </c>
      <c r="T80" s="32">
        <v>66.733519903900572</v>
      </c>
      <c r="U80" s="32">
        <v>95.076031399283835</v>
      </c>
      <c r="V80" s="32" t="s">
        <v>611</v>
      </c>
      <c r="W80" s="32" t="s">
        <v>611</v>
      </c>
      <c r="X80" s="32" t="s">
        <v>611</v>
      </c>
      <c r="Y80" s="32" t="s">
        <v>611</v>
      </c>
      <c r="Z80" s="32">
        <v>0</v>
      </c>
      <c r="AA80" s="32">
        <v>0</v>
      </c>
      <c r="AB80" s="32">
        <v>0</v>
      </c>
      <c r="AC80" s="32">
        <v>0</v>
      </c>
      <c r="AD80" s="32">
        <v>0</v>
      </c>
      <c r="AE80" s="32">
        <v>0</v>
      </c>
      <c r="AF80" s="32">
        <v>0</v>
      </c>
      <c r="AG80" s="32">
        <v>-88.191149031623709</v>
      </c>
      <c r="AH80" s="32">
        <v>32.307272728269702</v>
      </c>
      <c r="AI80" s="32">
        <v>7.998985003563023</v>
      </c>
      <c r="AJ80" s="32">
        <v>66.733519903900572</v>
      </c>
      <c r="AK80" s="32">
        <v>6.8848823676601256</v>
      </c>
      <c r="AL80" s="32">
        <v>113.92466000339341</v>
      </c>
      <c r="AM80" s="32">
        <v>324.34982748962744</v>
      </c>
      <c r="AN80" s="32">
        <v>55.854236106929704</v>
      </c>
      <c r="AO80" s="32">
        <v>38.020406359655716</v>
      </c>
      <c r="AP80" s="32">
        <v>0</v>
      </c>
      <c r="AQ80" s="32">
        <v>418.22446995621289</v>
      </c>
      <c r="AR80" s="32">
        <v>32.307272728269702</v>
      </c>
      <c r="AS80" s="383">
        <v>12.945211236919285</v>
      </c>
      <c r="AT80" s="32">
        <v>324.34982748962744</v>
      </c>
      <c r="AU80" s="32">
        <v>63.183525007839016</v>
      </c>
      <c r="AV80" s="32">
        <v>38.753335249746648</v>
      </c>
      <c r="AW80" s="32">
        <v>0</v>
      </c>
      <c r="AX80" s="32">
        <v>426.28668774721314</v>
      </c>
      <c r="AY80" s="32">
        <v>7.998985003563023</v>
      </c>
      <c r="AZ80" s="383">
        <v>53.292597442966873</v>
      </c>
      <c r="BA80" s="32">
        <v>324.34982748962744</v>
      </c>
      <c r="BB80" s="32">
        <v>119.03776111476873</v>
      </c>
      <c r="BC80" s="32">
        <v>44.338758860439619</v>
      </c>
      <c r="BD80" s="32">
        <v>0</v>
      </c>
      <c r="BE80" s="32">
        <v>487.72634746483578</v>
      </c>
      <c r="BF80" s="32">
        <v>40.306257731832723</v>
      </c>
      <c r="BG80" s="32">
        <v>-13.390872850235445</v>
      </c>
      <c r="BH80" s="383">
        <v>12.100511804142103</v>
      </c>
      <c r="BI80" s="32">
        <v>3.5152487152957623</v>
      </c>
      <c r="BJ80" s="32">
        <v>0.87034340515040254</v>
      </c>
      <c r="BK80" s="32">
        <v>7.2610561121144332</v>
      </c>
      <c r="BL80" s="32">
        <v>0.74912153995289932</v>
      </c>
      <c r="BM80" s="32">
        <v>12.395769772513496</v>
      </c>
      <c r="BN80" s="32">
        <v>324.34982748962744</v>
      </c>
      <c r="BO80" s="32">
        <v>0</v>
      </c>
      <c r="BP80" s="32">
        <v>119.03776111476873</v>
      </c>
      <c r="BQ80" s="32">
        <v>0</v>
      </c>
      <c r="BR80" s="32">
        <v>0</v>
      </c>
      <c r="BS80" s="32">
        <v>0</v>
      </c>
      <c r="BT80" s="32">
        <v>0</v>
      </c>
      <c r="BU80" s="32">
        <v>0</v>
      </c>
      <c r="BV80" s="32">
        <v>0</v>
      </c>
      <c r="BW80" s="32">
        <v>44.338758860439619</v>
      </c>
      <c r="BX80" s="32">
        <v>202.11580903501712</v>
      </c>
      <c r="BY80" s="32"/>
      <c r="BZ80" s="32">
        <v>0</v>
      </c>
      <c r="CA80" s="32">
        <v>-88.191149031623709</v>
      </c>
      <c r="CB80" s="32">
        <v>487.72634746483578</v>
      </c>
      <c r="CC80" s="32">
        <v>113.92466000339341</v>
      </c>
      <c r="CD80" s="383">
        <v>2.8494430952537715</v>
      </c>
      <c r="CE80" s="32">
        <v>-5.3806951981681133</v>
      </c>
      <c r="CF80" s="32">
        <v>6.4245094080409224</v>
      </c>
      <c r="CG80" s="32">
        <v>0</v>
      </c>
      <c r="CH80" s="32">
        <v>6.4245094080409224</v>
      </c>
      <c r="CI80" s="32">
        <v>0.32122398367990379</v>
      </c>
      <c r="CJ80" s="32">
        <v>0</v>
      </c>
      <c r="CK80" s="32">
        <v>0.32122398367990379</v>
      </c>
      <c r="CL80" s="32"/>
      <c r="CM80" s="32">
        <v>0</v>
      </c>
      <c r="CN80" s="32"/>
      <c r="CO80" s="32">
        <v>0</v>
      </c>
      <c r="CP80" s="32">
        <v>0</v>
      </c>
      <c r="CQ80" s="32">
        <v>0</v>
      </c>
      <c r="CR80" s="32">
        <v>0</v>
      </c>
      <c r="CS80" s="32">
        <v>0</v>
      </c>
      <c r="CT80" s="32">
        <v>0</v>
      </c>
      <c r="CU80" s="32">
        <v>66.733519903900572</v>
      </c>
      <c r="CV80" s="32">
        <v>9999</v>
      </c>
      <c r="CW80" s="384">
        <v>0</v>
      </c>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row>
    <row r="81" spans="1:131">
      <c r="A81" s="11" t="s">
        <v>672</v>
      </c>
      <c r="B81" s="11" t="s">
        <v>958</v>
      </c>
      <c r="C81" s="32">
        <v>16.279069767441861</v>
      </c>
      <c r="D81" s="32">
        <v>597.70000000000005</v>
      </c>
      <c r="E81" s="32">
        <v>0</v>
      </c>
      <c r="F81" s="32">
        <v>162.01157721295672</v>
      </c>
      <c r="G81" s="32">
        <v>-28</v>
      </c>
      <c r="H81" s="32">
        <v>0</v>
      </c>
      <c r="I81" s="32" t="s">
        <v>526</v>
      </c>
      <c r="J81" s="32"/>
      <c r="K81" s="32"/>
      <c r="L81" s="32">
        <v>676.26101827348168</v>
      </c>
      <c r="M81" s="32">
        <v>0.1580712483083227</v>
      </c>
      <c r="N81" s="32">
        <v>0.14997272135514486</v>
      </c>
      <c r="O81" s="32">
        <v>0</v>
      </c>
      <c r="P81" s="32">
        <v>0</v>
      </c>
      <c r="Q81" s="32">
        <v>0</v>
      </c>
      <c r="R81" s="32">
        <v>32.307272728269702</v>
      </c>
      <c r="S81" s="32">
        <v>7.998985003563023</v>
      </c>
      <c r="T81" s="32">
        <v>66.733519903900572</v>
      </c>
      <c r="U81" s="32">
        <v>95.076031399283835</v>
      </c>
      <c r="V81" s="32" t="s">
        <v>611</v>
      </c>
      <c r="W81" s="32" t="s">
        <v>611</v>
      </c>
      <c r="X81" s="32" t="s">
        <v>611</v>
      </c>
      <c r="Y81" s="32" t="s">
        <v>611</v>
      </c>
      <c r="Z81" s="32">
        <v>0</v>
      </c>
      <c r="AA81" s="32">
        <v>0</v>
      </c>
      <c r="AB81" s="32">
        <v>0</v>
      </c>
      <c r="AC81" s="32">
        <v>-380.52913765909528</v>
      </c>
      <c r="AD81" s="32">
        <v>0</v>
      </c>
      <c r="AE81" s="32">
        <v>0</v>
      </c>
      <c r="AF81" s="32">
        <v>0</v>
      </c>
      <c r="AG81" s="32">
        <v>0</v>
      </c>
      <c r="AH81" s="32">
        <v>32.307272728269702</v>
      </c>
      <c r="AI81" s="32">
        <v>7.998985003563023</v>
      </c>
      <c r="AJ81" s="32">
        <v>66.733519903900572</v>
      </c>
      <c r="AK81" s="32">
        <v>-285.45310625981142</v>
      </c>
      <c r="AL81" s="32">
        <v>-178.41332862407816</v>
      </c>
      <c r="AM81" s="32">
        <v>324.34982748962744</v>
      </c>
      <c r="AN81" s="32">
        <v>55.854236106929704</v>
      </c>
      <c r="AO81" s="32">
        <v>38.020406359655716</v>
      </c>
      <c r="AP81" s="32">
        <v>0</v>
      </c>
      <c r="AQ81" s="32">
        <v>418.22446995621289</v>
      </c>
      <c r="AR81" s="32">
        <v>32.307272728269702</v>
      </c>
      <c r="AS81" s="383">
        <v>12.945211236919285</v>
      </c>
      <c r="AT81" s="32">
        <v>324.34982748962744</v>
      </c>
      <c r="AU81" s="32">
        <v>63.183525007839016</v>
      </c>
      <c r="AV81" s="32">
        <v>38.753335249746648</v>
      </c>
      <c r="AW81" s="32">
        <v>0</v>
      </c>
      <c r="AX81" s="32">
        <v>426.28668774721314</v>
      </c>
      <c r="AY81" s="32">
        <v>7.998985003563023</v>
      </c>
      <c r="AZ81" s="383">
        <v>53.292597442966873</v>
      </c>
      <c r="BA81" s="32">
        <v>324.34982748962744</v>
      </c>
      <c r="BB81" s="32">
        <v>119.03776111476873</v>
      </c>
      <c r="BC81" s="32">
        <v>44.338758860439619</v>
      </c>
      <c r="BD81" s="32">
        <v>0</v>
      </c>
      <c r="BE81" s="32">
        <v>487.72634746483578</v>
      </c>
      <c r="BF81" s="32">
        <v>40.306257731832723</v>
      </c>
      <c r="BG81" s="32">
        <v>-13.390872850235445</v>
      </c>
      <c r="BH81" s="383">
        <v>12.100511804142103</v>
      </c>
      <c r="BI81" s="32">
        <v>3.5152487152957623</v>
      </c>
      <c r="BJ81" s="32">
        <v>0.87034340515040254</v>
      </c>
      <c r="BK81" s="32">
        <v>7.2610561121144332</v>
      </c>
      <c r="BL81" s="32">
        <v>-31.059219188716977</v>
      </c>
      <c r="BM81" s="32">
        <v>-19.41257095615638</v>
      </c>
      <c r="BN81" s="32">
        <v>324.34982748962744</v>
      </c>
      <c r="BO81" s="32">
        <v>0</v>
      </c>
      <c r="BP81" s="32">
        <v>119.03776111476873</v>
      </c>
      <c r="BQ81" s="32">
        <v>0</v>
      </c>
      <c r="BR81" s="32">
        <v>0</v>
      </c>
      <c r="BS81" s="32">
        <v>0</v>
      </c>
      <c r="BT81" s="32">
        <v>0</v>
      </c>
      <c r="BU81" s="32">
        <v>0</v>
      </c>
      <c r="BV81" s="32">
        <v>0</v>
      </c>
      <c r="BW81" s="32">
        <v>44.338758860439619</v>
      </c>
      <c r="BX81" s="32">
        <v>202.11580903501712</v>
      </c>
      <c r="BY81" s="32"/>
      <c r="BZ81" s="32">
        <v>-380.52913765909528</v>
      </c>
      <c r="CA81" s="32">
        <v>0</v>
      </c>
      <c r="CB81" s="32">
        <v>487.72634746483578</v>
      </c>
      <c r="CC81" s="32">
        <v>-178.41332862407816</v>
      </c>
      <c r="CD81" s="383">
        <v>4.2958316287544998</v>
      </c>
      <c r="CE81" s="32">
        <v>-37.189035926837981</v>
      </c>
      <c r="CF81" s="32">
        <v>6.4245094080409224</v>
      </c>
      <c r="CG81" s="32">
        <v>0</v>
      </c>
      <c r="CH81" s="32">
        <v>6.4245094080409224</v>
      </c>
      <c r="CI81" s="32">
        <v>0.32122398367990379</v>
      </c>
      <c r="CJ81" s="32">
        <v>0</v>
      </c>
      <c r="CK81" s="32">
        <v>0.32122398367990379</v>
      </c>
      <c r="CL81" s="32"/>
      <c r="CM81" s="32">
        <v>0</v>
      </c>
      <c r="CN81" s="32"/>
      <c r="CO81" s="32">
        <v>0</v>
      </c>
      <c r="CP81" s="32">
        <v>0</v>
      </c>
      <c r="CQ81" s="32">
        <v>0</v>
      </c>
      <c r="CR81" s="32">
        <v>0</v>
      </c>
      <c r="CS81" s="32">
        <v>0</v>
      </c>
      <c r="CT81" s="32">
        <v>0</v>
      </c>
      <c r="CU81" s="32">
        <v>66.733519903900572</v>
      </c>
      <c r="CV81" s="32">
        <v>9999</v>
      </c>
      <c r="CW81" s="384">
        <v>0</v>
      </c>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row>
    <row r="82" spans="1:131">
      <c r="A82" s="11" t="s">
        <v>673</v>
      </c>
      <c r="B82" s="11" t="s">
        <v>874</v>
      </c>
      <c r="C82" s="32">
        <v>16.279069767441861</v>
      </c>
      <c r="D82" s="32">
        <v>1459.85</v>
      </c>
      <c r="E82" s="32">
        <v>0</v>
      </c>
      <c r="F82" s="32">
        <v>486.0347316388702</v>
      </c>
      <c r="G82" s="32">
        <v>0</v>
      </c>
      <c r="H82" s="32">
        <v>-90.31623696009656</v>
      </c>
      <c r="I82" s="32" t="s">
        <v>526</v>
      </c>
      <c r="J82" s="32"/>
      <c r="K82" s="32"/>
      <c r="L82" s="32">
        <v>1651.7310482291152</v>
      </c>
      <c r="M82" s="32">
        <v>0.38608049496888885</v>
      </c>
      <c r="N82" s="32">
        <v>0.36630027985663072</v>
      </c>
      <c r="O82" s="32">
        <v>0</v>
      </c>
      <c r="P82" s="32">
        <v>0</v>
      </c>
      <c r="Q82" s="32">
        <v>0</v>
      </c>
      <c r="R82" s="32">
        <v>96.921818184809098</v>
      </c>
      <c r="S82" s="32">
        <v>23.996955010689071</v>
      </c>
      <c r="T82" s="32">
        <v>200.20055971170177</v>
      </c>
      <c r="U82" s="32">
        <v>285.22809419785153</v>
      </c>
      <c r="V82" s="32" t="s">
        <v>611</v>
      </c>
      <c r="W82" s="32" t="s">
        <v>611</v>
      </c>
      <c r="X82" s="32" t="s">
        <v>611</v>
      </c>
      <c r="Y82" s="32" t="s">
        <v>611</v>
      </c>
      <c r="Z82" s="32">
        <v>0</v>
      </c>
      <c r="AA82" s="32">
        <v>0</v>
      </c>
      <c r="AB82" s="32">
        <v>0</v>
      </c>
      <c r="AC82" s="32">
        <v>0</v>
      </c>
      <c r="AD82" s="32">
        <v>0</v>
      </c>
      <c r="AE82" s="32">
        <v>0</v>
      </c>
      <c r="AF82" s="32">
        <v>0</v>
      </c>
      <c r="AG82" s="32">
        <v>-90.31623696009656</v>
      </c>
      <c r="AH82" s="32">
        <v>96.921818184809098</v>
      </c>
      <c r="AI82" s="32">
        <v>23.996955010689071</v>
      </c>
      <c r="AJ82" s="32">
        <v>200.20055971170177</v>
      </c>
      <c r="AK82" s="32">
        <v>194.91185723775499</v>
      </c>
      <c r="AL82" s="32">
        <v>516.03119014495485</v>
      </c>
      <c r="AM82" s="32">
        <v>792.20695275344133</v>
      </c>
      <c r="AN82" s="32">
        <v>136.42095797340019</v>
      </c>
      <c r="AO82" s="32">
        <v>92.862791072684161</v>
      </c>
      <c r="AP82" s="32">
        <v>0</v>
      </c>
      <c r="AQ82" s="32">
        <v>1021.4907017995256</v>
      </c>
      <c r="AR82" s="32">
        <v>96.921818184809098</v>
      </c>
      <c r="AS82" s="383">
        <v>10.539326654518202</v>
      </c>
      <c r="AT82" s="32">
        <v>792.20695275344133</v>
      </c>
      <c r="AU82" s="32">
        <v>154.32235064864273</v>
      </c>
      <c r="AV82" s="32">
        <v>94.652930340208414</v>
      </c>
      <c r="AW82" s="32">
        <v>0</v>
      </c>
      <c r="AX82" s="32">
        <v>1041.1822337422925</v>
      </c>
      <c r="AY82" s="32">
        <v>23.996955010689071</v>
      </c>
      <c r="AZ82" s="383">
        <v>43.388097918194788</v>
      </c>
      <c r="BA82" s="32">
        <v>792.20695275344133</v>
      </c>
      <c r="BB82" s="32">
        <v>290.74330862204295</v>
      </c>
      <c r="BC82" s="32">
        <v>108.29502613754843</v>
      </c>
      <c r="BD82" s="32">
        <v>0</v>
      </c>
      <c r="BE82" s="32">
        <v>1191.2452875130325</v>
      </c>
      <c r="BF82" s="32">
        <v>120.91877319549818</v>
      </c>
      <c r="BG82" s="32">
        <v>-12.389743573844914</v>
      </c>
      <c r="BH82" s="383">
        <v>9.8516157254346233</v>
      </c>
      <c r="BI82" s="32">
        <v>4.3176987165783007</v>
      </c>
      <c r="BJ82" s="32">
        <v>1.0690226802583738</v>
      </c>
      <c r="BK82" s="32">
        <v>8.918587330638351</v>
      </c>
      <c r="BL82" s="32">
        <v>8.6829848181000191</v>
      </c>
      <c r="BM82" s="32">
        <v>22.98829354557504</v>
      </c>
      <c r="BN82" s="32">
        <v>792.20695275344133</v>
      </c>
      <c r="BO82" s="32">
        <v>0</v>
      </c>
      <c r="BP82" s="32">
        <v>290.74330862204295</v>
      </c>
      <c r="BQ82" s="32">
        <v>0</v>
      </c>
      <c r="BR82" s="32">
        <v>0</v>
      </c>
      <c r="BS82" s="32">
        <v>0</v>
      </c>
      <c r="BT82" s="32">
        <v>0</v>
      </c>
      <c r="BU82" s="32">
        <v>0</v>
      </c>
      <c r="BV82" s="32">
        <v>0</v>
      </c>
      <c r="BW82" s="32">
        <v>108.29502613754843</v>
      </c>
      <c r="BX82" s="32">
        <v>606.34742710505145</v>
      </c>
      <c r="BY82" s="32"/>
      <c r="BZ82" s="32">
        <v>0</v>
      </c>
      <c r="CA82" s="32">
        <v>-90.31623696009656</v>
      </c>
      <c r="CB82" s="32">
        <v>1191.2452875130325</v>
      </c>
      <c r="CC82" s="32">
        <v>516.03119014495485</v>
      </c>
      <c r="CD82" s="383">
        <v>2.11357625543465</v>
      </c>
      <c r="CE82" s="32">
        <v>5.2118285748934472</v>
      </c>
      <c r="CF82" s="32">
        <v>15.691517582948913</v>
      </c>
      <c r="CG82" s="32">
        <v>0</v>
      </c>
      <c r="CH82" s="32">
        <v>15.691517582948913</v>
      </c>
      <c r="CI82" s="32">
        <v>0.7845722479088294</v>
      </c>
      <c r="CJ82" s="32">
        <v>0</v>
      </c>
      <c r="CK82" s="32">
        <v>0.7845722479088294</v>
      </c>
      <c r="CL82" s="32"/>
      <c r="CM82" s="32">
        <v>0</v>
      </c>
      <c r="CN82" s="32"/>
      <c r="CO82" s="32">
        <v>0</v>
      </c>
      <c r="CP82" s="32">
        <v>0</v>
      </c>
      <c r="CQ82" s="32">
        <v>0</v>
      </c>
      <c r="CR82" s="32">
        <v>0</v>
      </c>
      <c r="CS82" s="32">
        <v>0</v>
      </c>
      <c r="CT82" s="32">
        <v>0</v>
      </c>
      <c r="CU82" s="32">
        <v>200.20055971170177</v>
      </c>
      <c r="CV82" s="32">
        <v>9999</v>
      </c>
      <c r="CW82" s="384">
        <v>0</v>
      </c>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row>
    <row r="83" spans="1:131">
      <c r="A83" s="11" t="s">
        <v>673</v>
      </c>
      <c r="B83" s="11" t="s">
        <v>875</v>
      </c>
      <c r="C83" s="32">
        <v>16.279069767441861</v>
      </c>
      <c r="D83" s="32">
        <v>1459.85</v>
      </c>
      <c r="E83" s="32">
        <v>0</v>
      </c>
      <c r="F83" s="32">
        <v>486.0347316388702</v>
      </c>
      <c r="G83" s="32">
        <v>-28</v>
      </c>
      <c r="H83" s="32">
        <v>0</v>
      </c>
      <c r="I83" s="32" t="s">
        <v>526</v>
      </c>
      <c r="J83" s="32"/>
      <c r="K83" s="32"/>
      <c r="L83" s="32">
        <v>1651.7310482291152</v>
      </c>
      <c r="M83" s="32">
        <v>0.38608049496888885</v>
      </c>
      <c r="N83" s="32">
        <v>0.36630027985663072</v>
      </c>
      <c r="O83" s="32">
        <v>0</v>
      </c>
      <c r="P83" s="32">
        <v>0</v>
      </c>
      <c r="Q83" s="32">
        <v>0</v>
      </c>
      <c r="R83" s="32">
        <v>96.921818184809098</v>
      </c>
      <c r="S83" s="32">
        <v>23.996955010689071</v>
      </c>
      <c r="T83" s="32">
        <v>200.20055971170177</v>
      </c>
      <c r="U83" s="32">
        <v>285.22809419785153</v>
      </c>
      <c r="V83" s="32" t="s">
        <v>611</v>
      </c>
      <c r="W83" s="32" t="s">
        <v>611</v>
      </c>
      <c r="X83" s="32" t="s">
        <v>611</v>
      </c>
      <c r="Y83" s="32" t="s">
        <v>611</v>
      </c>
      <c r="Z83" s="32">
        <v>0</v>
      </c>
      <c r="AA83" s="32">
        <v>0</v>
      </c>
      <c r="AB83" s="32">
        <v>0</v>
      </c>
      <c r="AC83" s="32">
        <v>-380.52913765909528</v>
      </c>
      <c r="AD83" s="32">
        <v>0</v>
      </c>
      <c r="AE83" s="32">
        <v>0</v>
      </c>
      <c r="AF83" s="32">
        <v>0</v>
      </c>
      <c r="AG83" s="32">
        <v>0</v>
      </c>
      <c r="AH83" s="32">
        <v>96.921818184809098</v>
      </c>
      <c r="AI83" s="32">
        <v>23.996955010689071</v>
      </c>
      <c r="AJ83" s="32">
        <v>200.20055971170177</v>
      </c>
      <c r="AK83" s="32">
        <v>-95.301043461243751</v>
      </c>
      <c r="AL83" s="32">
        <v>225.81828944595617</v>
      </c>
      <c r="AM83" s="32">
        <v>792.20695275344133</v>
      </c>
      <c r="AN83" s="32">
        <v>136.42095797340019</v>
      </c>
      <c r="AO83" s="32">
        <v>92.862791072684161</v>
      </c>
      <c r="AP83" s="32">
        <v>0</v>
      </c>
      <c r="AQ83" s="32">
        <v>1021.4907017995256</v>
      </c>
      <c r="AR83" s="32">
        <v>96.921818184809098</v>
      </c>
      <c r="AS83" s="383">
        <v>10.539326654518202</v>
      </c>
      <c r="AT83" s="32">
        <v>792.20695275344133</v>
      </c>
      <c r="AU83" s="32">
        <v>154.32235064864273</v>
      </c>
      <c r="AV83" s="32">
        <v>94.652930340208414</v>
      </c>
      <c r="AW83" s="32">
        <v>0</v>
      </c>
      <c r="AX83" s="32">
        <v>1041.1822337422925</v>
      </c>
      <c r="AY83" s="32">
        <v>23.996955010689071</v>
      </c>
      <c r="AZ83" s="383">
        <v>43.388097918194788</v>
      </c>
      <c r="BA83" s="32">
        <v>792.20695275344133</v>
      </c>
      <c r="BB83" s="32">
        <v>290.74330862204295</v>
      </c>
      <c r="BC83" s="32">
        <v>108.29502613754843</v>
      </c>
      <c r="BD83" s="32">
        <v>0</v>
      </c>
      <c r="BE83" s="32">
        <v>1191.2452875130325</v>
      </c>
      <c r="BF83" s="32">
        <v>120.91877319549818</v>
      </c>
      <c r="BG83" s="32">
        <v>-12.389743573844914</v>
      </c>
      <c r="BH83" s="383">
        <v>9.8516157254346233</v>
      </c>
      <c r="BI83" s="32">
        <v>4.3176987165783007</v>
      </c>
      <c r="BJ83" s="32">
        <v>1.0690226802583738</v>
      </c>
      <c r="BK83" s="32">
        <v>8.918587330638351</v>
      </c>
      <c r="BL83" s="32">
        <v>-4.2454960167645499</v>
      </c>
      <c r="BM83" s="32">
        <v>10.059812710710474</v>
      </c>
      <c r="BN83" s="32">
        <v>792.20695275344133</v>
      </c>
      <c r="BO83" s="32">
        <v>0</v>
      </c>
      <c r="BP83" s="32">
        <v>290.74330862204295</v>
      </c>
      <c r="BQ83" s="32">
        <v>0</v>
      </c>
      <c r="BR83" s="32">
        <v>0</v>
      </c>
      <c r="BS83" s="32">
        <v>0</v>
      </c>
      <c r="BT83" s="32">
        <v>0</v>
      </c>
      <c r="BU83" s="32">
        <v>0</v>
      </c>
      <c r="BV83" s="32">
        <v>0</v>
      </c>
      <c r="BW83" s="32">
        <v>108.29502613754843</v>
      </c>
      <c r="BX83" s="32">
        <v>606.34742710505145</v>
      </c>
      <c r="BY83" s="32"/>
      <c r="BZ83" s="32">
        <v>-380.52913765909528</v>
      </c>
      <c r="CA83" s="32">
        <v>0</v>
      </c>
      <c r="CB83" s="32">
        <v>1191.2452875130325</v>
      </c>
      <c r="CC83" s="32">
        <v>225.81828944595617</v>
      </c>
      <c r="CD83" s="383">
        <v>2.5922010301526575</v>
      </c>
      <c r="CE83" s="32">
        <v>-7.7166522599711165</v>
      </c>
      <c r="CF83" s="32">
        <v>15.691517582948913</v>
      </c>
      <c r="CG83" s="32">
        <v>0</v>
      </c>
      <c r="CH83" s="32">
        <v>15.691517582948913</v>
      </c>
      <c r="CI83" s="32">
        <v>0.7845722479088294</v>
      </c>
      <c r="CJ83" s="32">
        <v>0</v>
      </c>
      <c r="CK83" s="32">
        <v>0.7845722479088294</v>
      </c>
      <c r="CL83" s="32"/>
      <c r="CM83" s="32">
        <v>0</v>
      </c>
      <c r="CN83" s="32"/>
      <c r="CO83" s="32">
        <v>0</v>
      </c>
      <c r="CP83" s="32">
        <v>0</v>
      </c>
      <c r="CQ83" s="32">
        <v>0</v>
      </c>
      <c r="CR83" s="32">
        <v>0</v>
      </c>
      <c r="CS83" s="32">
        <v>0</v>
      </c>
      <c r="CT83" s="32">
        <v>0</v>
      </c>
      <c r="CU83" s="32">
        <v>200.20055971170177</v>
      </c>
      <c r="CV83" s="32">
        <v>9999</v>
      </c>
      <c r="CW83" s="384">
        <v>0</v>
      </c>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row>
    <row r="84" spans="1:131">
      <c r="A84" s="11"/>
      <c r="B84" s="1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row>
    <row r="85" spans="1:131">
      <c r="A85" s="11"/>
      <c r="B85" s="11"/>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row>
    <row r="86" spans="1:131" ht="13.5" thickBot="1">
      <c r="A86" s="368" t="s">
        <v>612</v>
      </c>
      <c r="B86" s="370"/>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row>
    <row r="87" spans="1:131" ht="26.25" thickBot="1">
      <c r="A87" s="373" t="s">
        <v>291</v>
      </c>
      <c r="B87" s="374"/>
      <c r="C87" s="375" t="s">
        <v>292</v>
      </c>
      <c r="D87" s="376"/>
      <c r="E87" s="376"/>
      <c r="F87" s="376"/>
      <c r="G87" s="376"/>
      <c r="H87" s="376"/>
      <c r="I87" s="376"/>
      <c r="J87" s="376"/>
      <c r="K87" s="377"/>
      <c r="L87" s="375" t="s">
        <v>102</v>
      </c>
      <c r="M87" s="376"/>
      <c r="N87" s="376"/>
      <c r="O87" s="376"/>
      <c r="P87" s="376"/>
      <c r="Q87" s="377"/>
      <c r="R87" s="375" t="s">
        <v>293</v>
      </c>
      <c r="S87" s="376"/>
      <c r="T87" s="376"/>
      <c r="U87" s="377"/>
      <c r="V87" s="375" t="s">
        <v>294</v>
      </c>
      <c r="W87" s="376"/>
      <c r="X87" s="376"/>
      <c r="Y87" s="377"/>
      <c r="Z87" s="375" t="s">
        <v>295</v>
      </c>
      <c r="AA87" s="376"/>
      <c r="AB87" s="376"/>
      <c r="AC87" s="377"/>
      <c r="AD87" s="375" t="s">
        <v>296</v>
      </c>
      <c r="AE87" s="376"/>
      <c r="AF87" s="376"/>
      <c r="AG87" s="377"/>
      <c r="AH87" s="375" t="s">
        <v>297</v>
      </c>
      <c r="AI87" s="376"/>
      <c r="AJ87" s="376"/>
      <c r="AK87" s="376"/>
      <c r="AL87" s="377"/>
      <c r="AM87" s="375" t="s">
        <v>298</v>
      </c>
      <c r="AN87" s="376"/>
      <c r="AO87" s="376"/>
      <c r="AP87" s="376"/>
      <c r="AQ87" s="376"/>
      <c r="AR87" s="376"/>
      <c r="AS87" s="377"/>
      <c r="AT87" s="375" t="s">
        <v>299</v>
      </c>
      <c r="AU87" s="376"/>
      <c r="AV87" s="376"/>
      <c r="AW87" s="376"/>
      <c r="AX87" s="376"/>
      <c r="AY87" s="376"/>
      <c r="AZ87" s="377"/>
      <c r="BA87" s="375" t="s">
        <v>300</v>
      </c>
      <c r="BB87" s="376"/>
      <c r="BC87" s="376"/>
      <c r="BD87" s="376"/>
      <c r="BE87" s="376"/>
      <c r="BF87" s="377"/>
      <c r="BG87" s="375" t="s">
        <v>301</v>
      </c>
      <c r="BH87" s="377"/>
      <c r="BI87" s="375" t="s">
        <v>302</v>
      </c>
      <c r="BJ87" s="376"/>
      <c r="BK87" s="376"/>
      <c r="BL87" s="376"/>
      <c r="BM87" s="377"/>
      <c r="BN87" s="375" t="s">
        <v>303</v>
      </c>
      <c r="BO87" s="376"/>
      <c r="BP87" s="376"/>
      <c r="BQ87" s="376"/>
      <c r="BR87" s="376"/>
      <c r="BS87" s="376"/>
      <c r="BT87" s="376"/>
      <c r="BU87" s="376"/>
      <c r="BV87" s="376"/>
      <c r="BW87" s="376"/>
      <c r="BX87" s="376"/>
      <c r="BY87" s="376"/>
      <c r="BZ87" s="376"/>
      <c r="CA87" s="376"/>
      <c r="CB87" s="376"/>
      <c r="CC87" s="377"/>
      <c r="CD87" s="375" t="s">
        <v>304</v>
      </c>
      <c r="CE87" s="377"/>
      <c r="CF87" s="375" t="s">
        <v>305</v>
      </c>
      <c r="CG87" s="376"/>
      <c r="CH87" s="376"/>
      <c r="CI87" s="376"/>
      <c r="CJ87" s="376"/>
      <c r="CK87" s="377"/>
      <c r="CL87" s="378"/>
      <c r="CM87" s="375" t="s">
        <v>15</v>
      </c>
      <c r="CN87" s="376"/>
      <c r="CO87" s="376"/>
      <c r="CP87" s="377"/>
      <c r="CQ87" s="375" t="s">
        <v>306</v>
      </c>
      <c r="CR87" s="376"/>
      <c r="CS87" s="376"/>
      <c r="CT87" s="376"/>
      <c r="CU87" s="377"/>
      <c r="CV87" s="375" t="s">
        <v>307</v>
      </c>
      <c r="CW87" s="377"/>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row>
    <row r="88" spans="1:131" ht="127.5">
      <c r="A88" s="379" t="s">
        <v>308</v>
      </c>
      <c r="B88" s="380" t="s">
        <v>309</v>
      </c>
      <c r="C88" s="381" t="s">
        <v>8</v>
      </c>
      <c r="D88" s="381" t="s">
        <v>310</v>
      </c>
      <c r="E88" s="381" t="s">
        <v>311</v>
      </c>
      <c r="F88" s="381" t="s">
        <v>312</v>
      </c>
      <c r="G88" s="381" t="s">
        <v>313</v>
      </c>
      <c r="H88" s="381" t="s">
        <v>314</v>
      </c>
      <c r="I88" s="381" t="s">
        <v>315</v>
      </c>
      <c r="J88" s="381" t="s">
        <v>316</v>
      </c>
      <c r="K88" s="381" t="s">
        <v>317</v>
      </c>
      <c r="L88" s="381" t="s">
        <v>318</v>
      </c>
      <c r="M88" s="381" t="s">
        <v>319</v>
      </c>
      <c r="N88" s="381" t="s">
        <v>320</v>
      </c>
      <c r="O88" s="381" t="s">
        <v>321</v>
      </c>
      <c r="P88" s="381" t="s">
        <v>322</v>
      </c>
      <c r="Q88" s="381" t="s">
        <v>323</v>
      </c>
      <c r="R88" s="381" t="s">
        <v>324</v>
      </c>
      <c r="S88" s="381" t="s">
        <v>325</v>
      </c>
      <c r="T88" s="381" t="s">
        <v>326</v>
      </c>
      <c r="U88" s="381" t="s">
        <v>327</v>
      </c>
      <c r="V88" s="381" t="s">
        <v>324</v>
      </c>
      <c r="W88" s="381" t="s">
        <v>325</v>
      </c>
      <c r="X88" s="381" t="s">
        <v>326</v>
      </c>
      <c r="Y88" s="381" t="s">
        <v>327</v>
      </c>
      <c r="Z88" s="381" t="s">
        <v>324</v>
      </c>
      <c r="AA88" s="381" t="s">
        <v>325</v>
      </c>
      <c r="AB88" s="381" t="s">
        <v>326</v>
      </c>
      <c r="AC88" s="381" t="s">
        <v>327</v>
      </c>
      <c r="AD88" s="381" t="s">
        <v>324</v>
      </c>
      <c r="AE88" s="381" t="s">
        <v>325</v>
      </c>
      <c r="AF88" s="381" t="s">
        <v>326</v>
      </c>
      <c r="AG88" s="381" t="s">
        <v>327</v>
      </c>
      <c r="AH88" s="381" t="s">
        <v>324</v>
      </c>
      <c r="AI88" s="381" t="s">
        <v>325</v>
      </c>
      <c r="AJ88" s="381" t="s">
        <v>326</v>
      </c>
      <c r="AK88" s="381" t="s">
        <v>327</v>
      </c>
      <c r="AL88" s="381" t="s">
        <v>156</v>
      </c>
      <c r="AM88" s="381" t="s">
        <v>328</v>
      </c>
      <c r="AN88" s="381" t="s">
        <v>329</v>
      </c>
      <c r="AO88" s="381" t="s">
        <v>330</v>
      </c>
      <c r="AP88" s="381" t="s">
        <v>331</v>
      </c>
      <c r="AQ88" s="381" t="s">
        <v>332</v>
      </c>
      <c r="AR88" s="381" t="s">
        <v>333</v>
      </c>
      <c r="AS88" s="381" t="s">
        <v>334</v>
      </c>
      <c r="AT88" s="381" t="s">
        <v>335</v>
      </c>
      <c r="AU88" s="381" t="s">
        <v>336</v>
      </c>
      <c r="AV88" s="381" t="s">
        <v>337</v>
      </c>
      <c r="AW88" s="381" t="s">
        <v>338</v>
      </c>
      <c r="AX88" s="381" t="s">
        <v>339</v>
      </c>
      <c r="AY88" s="381" t="s">
        <v>340</v>
      </c>
      <c r="AZ88" s="381" t="s">
        <v>341</v>
      </c>
      <c r="BA88" s="381" t="s">
        <v>342</v>
      </c>
      <c r="BB88" s="381" t="s">
        <v>343</v>
      </c>
      <c r="BC88" s="381" t="s">
        <v>344</v>
      </c>
      <c r="BD88" s="381" t="s">
        <v>345</v>
      </c>
      <c r="BE88" s="381" t="s">
        <v>346</v>
      </c>
      <c r="BF88" s="381" t="s">
        <v>347</v>
      </c>
      <c r="BG88" s="381" t="s">
        <v>348</v>
      </c>
      <c r="BH88" s="381" t="s">
        <v>349</v>
      </c>
      <c r="BI88" s="381" t="s">
        <v>350</v>
      </c>
      <c r="BJ88" s="381" t="s">
        <v>351</v>
      </c>
      <c r="BK88" s="381" t="s">
        <v>352</v>
      </c>
      <c r="BL88" s="381" t="s">
        <v>353</v>
      </c>
      <c r="BM88" s="381" t="s">
        <v>354</v>
      </c>
      <c r="BN88" s="381" t="s">
        <v>355</v>
      </c>
      <c r="BO88" s="381" t="s">
        <v>356</v>
      </c>
      <c r="BP88" s="381" t="s">
        <v>357</v>
      </c>
      <c r="BQ88" s="381" t="s">
        <v>358</v>
      </c>
      <c r="BR88" s="381" t="s">
        <v>359</v>
      </c>
      <c r="BS88" s="381" t="s">
        <v>360</v>
      </c>
      <c r="BT88" s="381" t="s">
        <v>361</v>
      </c>
      <c r="BU88" s="381" t="s">
        <v>362</v>
      </c>
      <c r="BV88" s="381" t="s">
        <v>363</v>
      </c>
      <c r="BW88" s="381" t="s">
        <v>364</v>
      </c>
      <c r="BX88" s="381" t="s">
        <v>365</v>
      </c>
      <c r="BY88" s="381" t="s">
        <v>366</v>
      </c>
      <c r="BZ88" s="381" t="s">
        <v>367</v>
      </c>
      <c r="CA88" s="381" t="s">
        <v>368</v>
      </c>
      <c r="CB88" s="381" t="s">
        <v>369</v>
      </c>
      <c r="CC88" s="381" t="s">
        <v>370</v>
      </c>
      <c r="CD88" s="381" t="s">
        <v>371</v>
      </c>
      <c r="CE88" s="381" t="s">
        <v>372</v>
      </c>
      <c r="CF88" s="381" t="s">
        <v>373</v>
      </c>
      <c r="CG88" s="381" t="s">
        <v>374</v>
      </c>
      <c r="CH88" s="381" t="s">
        <v>375</v>
      </c>
      <c r="CI88" s="381" t="s">
        <v>608</v>
      </c>
      <c r="CJ88" s="381" t="s">
        <v>609</v>
      </c>
      <c r="CK88" s="381" t="s">
        <v>610</v>
      </c>
      <c r="CL88" s="381"/>
      <c r="CM88" s="381" t="s">
        <v>376</v>
      </c>
      <c r="CN88" s="381" t="s">
        <v>377</v>
      </c>
      <c r="CO88" s="381" t="s">
        <v>378</v>
      </c>
      <c r="CP88" s="381" t="s">
        <v>379</v>
      </c>
      <c r="CQ88" s="381" t="s">
        <v>380</v>
      </c>
      <c r="CR88" s="381" t="s">
        <v>381</v>
      </c>
      <c r="CS88" s="381" t="s">
        <v>382</v>
      </c>
      <c r="CT88" s="381" t="s">
        <v>383</v>
      </c>
      <c r="CU88" s="381" t="s">
        <v>384</v>
      </c>
      <c r="CV88" s="381" t="s">
        <v>385</v>
      </c>
      <c r="CW88" s="381" t="s">
        <v>386</v>
      </c>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row>
    <row r="89" spans="1:131">
      <c r="A89" s="11" t="s">
        <v>664</v>
      </c>
      <c r="B89" s="11"/>
      <c r="C89" s="32">
        <v>16.279069767441861</v>
      </c>
      <c r="D89" s="32">
        <v>305.29999999999995</v>
      </c>
      <c r="E89" s="32">
        <v>0</v>
      </c>
      <c r="F89" s="32">
        <v>-8.5918959509302795</v>
      </c>
      <c r="G89" s="32">
        <v>-28</v>
      </c>
      <c r="H89" s="32">
        <v>-75.99143986970131</v>
      </c>
      <c r="I89" s="32"/>
      <c r="J89" s="32"/>
      <c r="K89" s="32"/>
      <c r="L89" s="32">
        <v>345.42828990947618</v>
      </c>
      <c r="M89" s="32">
        <v>8.0741428992020942E-2</v>
      </c>
      <c r="N89" s="32">
        <v>7.6604771339678288E-2</v>
      </c>
      <c r="O89" s="32">
        <v>0</v>
      </c>
      <c r="P89" s="32">
        <v>0</v>
      </c>
      <c r="Q89" s="32">
        <v>0</v>
      </c>
      <c r="R89" s="32">
        <v>-1.713338827476222</v>
      </c>
      <c r="S89" s="32">
        <v>-0.42420701067138822</v>
      </c>
      <c r="T89" s="32">
        <v>-3.5390523894473516</v>
      </c>
      <c r="U89" s="32">
        <v>-5.0421296012461596</v>
      </c>
      <c r="V89" s="32">
        <v>-0.51551375705581681</v>
      </c>
      <c r="W89" s="32">
        <v>-0.12887843926395418</v>
      </c>
      <c r="X89" s="32">
        <v>-1.0739869938662849</v>
      </c>
      <c r="Y89" s="32">
        <v>0</v>
      </c>
      <c r="Z89" s="32">
        <v>0</v>
      </c>
      <c r="AA89" s="32">
        <v>0</v>
      </c>
      <c r="AB89" s="32">
        <v>0</v>
      </c>
      <c r="AC89" s="32">
        <v>-380.52913765909528</v>
      </c>
      <c r="AD89" s="32">
        <v>0</v>
      </c>
      <c r="AE89" s="32">
        <v>0</v>
      </c>
      <c r="AF89" s="32">
        <v>0</v>
      </c>
      <c r="AG89" s="32">
        <v>-75.99143986970131</v>
      </c>
      <c r="AH89" s="32">
        <v>-2.2288525845320386</v>
      </c>
      <c r="AI89" s="32">
        <v>-0.55308544993534237</v>
      </c>
      <c r="AJ89" s="32">
        <v>-4.6130393833136365</v>
      </c>
      <c r="AK89" s="32">
        <v>-461.56270713004278</v>
      </c>
      <c r="AL89" s="32">
        <v>-468.95768454782376</v>
      </c>
      <c r="AM89" s="32">
        <v>165.67509173930594</v>
      </c>
      <c r="AN89" s="32">
        <v>28.529861608575583</v>
      </c>
      <c r="AO89" s="32">
        <v>19.42049533478815</v>
      </c>
      <c r="AP89" s="32">
        <v>0</v>
      </c>
      <c r="AQ89" s="32">
        <v>213.62544868266966</v>
      </c>
      <c r="AR89" s="32">
        <v>-2.2288525845320386</v>
      </c>
      <c r="AS89" s="383">
        <v>9999</v>
      </c>
      <c r="AT89" s="32">
        <v>165.67509173930594</v>
      </c>
      <c r="AU89" s="32">
        <v>32.273599104723516</v>
      </c>
      <c r="AV89" s="32">
        <v>19.794869084402944</v>
      </c>
      <c r="AW89" s="32">
        <v>0</v>
      </c>
      <c r="AX89" s="32">
        <v>217.74355992843238</v>
      </c>
      <c r="AY89" s="32">
        <v>-0.55308544993534237</v>
      </c>
      <c r="AZ89" s="383">
        <v>9999</v>
      </c>
      <c r="BA89" s="32">
        <v>165.67509173930594</v>
      </c>
      <c r="BB89" s="32">
        <v>60.803460713299103</v>
      </c>
      <c r="BC89" s="32">
        <v>22.647855245260505</v>
      </c>
      <c r="BD89" s="32">
        <v>0</v>
      </c>
      <c r="BE89" s="32">
        <v>249.12640769786552</v>
      </c>
      <c r="BF89" s="32">
        <v>-2.7819380344673812</v>
      </c>
      <c r="BG89" s="32">
        <v>-18.369062264711971</v>
      </c>
      <c r="BH89" s="383">
        <v>9999</v>
      </c>
      <c r="BI89" s="32">
        <v>-0.4747812474691479</v>
      </c>
      <c r="BJ89" s="32">
        <v>-0.11781604656122655</v>
      </c>
      <c r="BK89" s="32">
        <v>-0.98265116689796694</v>
      </c>
      <c r="BL89" s="32">
        <v>-98.320238582512061</v>
      </c>
      <c r="BM89" s="32">
        <v>-99.895487043440397</v>
      </c>
      <c r="BN89" s="32">
        <v>165.67509173930594</v>
      </c>
      <c r="BO89" s="32">
        <v>0</v>
      </c>
      <c r="BP89" s="32">
        <v>60.803460713299103</v>
      </c>
      <c r="BQ89" s="32">
        <v>0</v>
      </c>
      <c r="BR89" s="32">
        <v>0</v>
      </c>
      <c r="BS89" s="32">
        <v>0</v>
      </c>
      <c r="BT89" s="32">
        <v>0</v>
      </c>
      <c r="BU89" s="32">
        <v>0</v>
      </c>
      <c r="BV89" s="32">
        <v>0</v>
      </c>
      <c r="BW89" s="32">
        <v>22.647855245260505</v>
      </c>
      <c r="BX89" s="32">
        <v>-10.718727828841121</v>
      </c>
      <c r="BY89" s="32">
        <v>-1.7183791901860559</v>
      </c>
      <c r="BZ89" s="32">
        <v>-380.52913765909528</v>
      </c>
      <c r="CA89" s="32">
        <v>-75.99143986970131</v>
      </c>
      <c r="CB89" s="32">
        <v>249.12640769786555</v>
      </c>
      <c r="CC89" s="32">
        <v>-468.95768454782376</v>
      </c>
      <c r="CD89" s="383">
        <v>9999</v>
      </c>
      <c r="CE89" s="32">
        <v>-117.67195201412203</v>
      </c>
      <c r="CF89" s="32">
        <v>3.2815839422367321</v>
      </c>
      <c r="CG89" s="32">
        <v>0</v>
      </c>
      <c r="CH89" s="32">
        <v>3.2815839422367321</v>
      </c>
      <c r="CI89" s="32">
        <v>0.16407843770700115</v>
      </c>
      <c r="CJ89" s="32">
        <v>0</v>
      </c>
      <c r="CK89" s="32">
        <v>0.16407843770700115</v>
      </c>
      <c r="CL89" s="32"/>
      <c r="CM89" s="32">
        <v>0</v>
      </c>
      <c r="CN89" s="32"/>
      <c r="CO89" s="32">
        <v>0</v>
      </c>
      <c r="CP89" s="32">
        <v>0</v>
      </c>
      <c r="CQ89" s="32">
        <v>0</v>
      </c>
      <c r="CR89" s="32">
        <v>0</v>
      </c>
      <c r="CS89" s="32">
        <v>0</v>
      </c>
      <c r="CT89" s="32">
        <v>0</v>
      </c>
      <c r="CU89" s="32">
        <v>-4.6130393833136365</v>
      </c>
      <c r="CV89" s="32">
        <v>9999</v>
      </c>
      <c r="CW89" s="383">
        <v>9999</v>
      </c>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row>
    <row r="90" spans="1:131">
      <c r="A90" s="11" t="s">
        <v>666</v>
      </c>
      <c r="B90" s="11"/>
      <c r="C90" s="32">
        <v>16.279069767441861</v>
      </c>
      <c r="D90" s="32">
        <v>666.5</v>
      </c>
      <c r="E90" s="32">
        <v>0</v>
      </c>
      <c r="F90" s="32">
        <v>2.0115772129567233</v>
      </c>
      <c r="G90" s="32">
        <v>-28</v>
      </c>
      <c r="H90" s="32">
        <v>-78.952145319170185</v>
      </c>
      <c r="I90" s="32"/>
      <c r="J90" s="32"/>
      <c r="K90" s="32"/>
      <c r="L90" s="32">
        <v>754.1040131826594</v>
      </c>
      <c r="M90" s="32">
        <v>0.1762664999121584</v>
      </c>
      <c r="N90" s="32">
        <v>0.16723576841760757</v>
      </c>
      <c r="O90" s="32">
        <v>0</v>
      </c>
      <c r="P90" s="32">
        <v>0</v>
      </c>
      <c r="Q90" s="32">
        <v>0</v>
      </c>
      <c r="R90" s="32">
        <v>0.40113536792213955</v>
      </c>
      <c r="S90" s="32">
        <v>9.9317445313180402E-2</v>
      </c>
      <c r="T90" s="32">
        <v>0.82858046497892279</v>
      </c>
      <c r="U90" s="32">
        <v>1.1804883425692743</v>
      </c>
      <c r="V90" s="32">
        <v>0.1206946327774034</v>
      </c>
      <c r="W90" s="32">
        <v>3.0173658194350843E-2</v>
      </c>
      <c r="X90" s="32">
        <v>0.25144715161959041</v>
      </c>
      <c r="Y90" s="32">
        <v>0</v>
      </c>
      <c r="Z90" s="32">
        <v>0</v>
      </c>
      <c r="AA90" s="32">
        <v>0</v>
      </c>
      <c r="AB90" s="32">
        <v>0</v>
      </c>
      <c r="AC90" s="32">
        <v>-380.52913765909528</v>
      </c>
      <c r="AD90" s="32">
        <v>0</v>
      </c>
      <c r="AE90" s="32">
        <v>0</v>
      </c>
      <c r="AF90" s="32">
        <v>0</v>
      </c>
      <c r="AG90" s="32">
        <v>-78.952145319170185</v>
      </c>
      <c r="AH90" s="32">
        <v>0.521830000699543</v>
      </c>
      <c r="AI90" s="32">
        <v>0.12949110350753124</v>
      </c>
      <c r="AJ90" s="32">
        <v>1.0800276165985132</v>
      </c>
      <c r="AK90" s="32">
        <v>-458.30079463569621</v>
      </c>
      <c r="AL90" s="32">
        <v>-456.56944591489059</v>
      </c>
      <c r="AM90" s="32">
        <v>361.68505943087922</v>
      </c>
      <c r="AN90" s="32">
        <v>62.283500694777707</v>
      </c>
      <c r="AO90" s="32">
        <v>42.396856012565692</v>
      </c>
      <c r="AP90" s="32">
        <v>0</v>
      </c>
      <c r="AQ90" s="32">
        <v>466.36541613822266</v>
      </c>
      <c r="AR90" s="32">
        <v>0.521830000699543</v>
      </c>
      <c r="AS90" s="383">
        <v>893.71139166593161</v>
      </c>
      <c r="AT90" s="32">
        <v>361.68505943087922</v>
      </c>
      <c r="AU90" s="32">
        <v>70.456448749748532</v>
      </c>
      <c r="AV90" s="32">
        <v>43.214150818062777</v>
      </c>
      <c r="AW90" s="32">
        <v>0</v>
      </c>
      <c r="AX90" s="32">
        <v>475.3556589986905</v>
      </c>
      <c r="AY90" s="32">
        <v>0.12949110350753124</v>
      </c>
      <c r="AZ90" s="383">
        <v>3670.9522594426239</v>
      </c>
      <c r="BA90" s="32">
        <v>361.68505943087922</v>
      </c>
      <c r="BB90" s="32">
        <v>132.73994944452625</v>
      </c>
      <c r="BC90" s="32">
        <v>49.442500887540547</v>
      </c>
      <c r="BD90" s="32">
        <v>0</v>
      </c>
      <c r="BE90" s="32">
        <v>543.86750976294604</v>
      </c>
      <c r="BF90" s="32">
        <v>0.65132110420707423</v>
      </c>
      <c r="BG90" s="32">
        <v>-17.712912269680494</v>
      </c>
      <c r="BH90" s="383">
        <v>835.02209010263311</v>
      </c>
      <c r="BI90" s="32">
        <v>5.0917597777272942E-2</v>
      </c>
      <c r="BJ90" s="32">
        <v>1.2635103223833233E-2</v>
      </c>
      <c r="BK90" s="32">
        <v>0.10538376807885591</v>
      </c>
      <c r="BL90" s="32">
        <v>-44.718731178702399</v>
      </c>
      <c r="BM90" s="32">
        <v>-44.549794709622439</v>
      </c>
      <c r="BN90" s="32">
        <v>361.68505943087922</v>
      </c>
      <c r="BO90" s="32">
        <v>0</v>
      </c>
      <c r="BP90" s="32">
        <v>132.73994944452625</v>
      </c>
      <c r="BQ90" s="32">
        <v>0</v>
      </c>
      <c r="BR90" s="32">
        <v>0</v>
      </c>
      <c r="BS90" s="32">
        <v>0</v>
      </c>
      <c r="BT90" s="32">
        <v>0</v>
      </c>
      <c r="BU90" s="32">
        <v>0</v>
      </c>
      <c r="BV90" s="32">
        <v>0</v>
      </c>
      <c r="BW90" s="32">
        <v>49.442500887540547</v>
      </c>
      <c r="BX90" s="32">
        <v>2.5095216207835169</v>
      </c>
      <c r="BY90" s="32">
        <v>0.40231544259134466</v>
      </c>
      <c r="BZ90" s="32">
        <v>-380.52913765909528</v>
      </c>
      <c r="CA90" s="32">
        <v>-78.952145319170185</v>
      </c>
      <c r="CB90" s="32">
        <v>543.86750976294604</v>
      </c>
      <c r="CC90" s="32">
        <v>-456.56944591489059</v>
      </c>
      <c r="CD90" s="383">
        <v>344.57587114380487</v>
      </c>
      <c r="CE90" s="32">
        <v>-62.326259680304034</v>
      </c>
      <c r="CF90" s="32">
        <v>7.1640212823477789</v>
      </c>
      <c r="CG90" s="32">
        <v>0</v>
      </c>
      <c r="CH90" s="32">
        <v>7.1640212823477789</v>
      </c>
      <c r="CI90" s="32">
        <v>0.35819940626176316</v>
      </c>
      <c r="CJ90" s="32">
        <v>0</v>
      </c>
      <c r="CK90" s="32">
        <v>0.35819940626176316</v>
      </c>
      <c r="CL90" s="32"/>
      <c r="CM90" s="32">
        <v>0</v>
      </c>
      <c r="CN90" s="32"/>
      <c r="CO90" s="32">
        <v>0</v>
      </c>
      <c r="CP90" s="32">
        <v>0</v>
      </c>
      <c r="CQ90" s="32">
        <v>0</v>
      </c>
      <c r="CR90" s="32">
        <v>0</v>
      </c>
      <c r="CS90" s="32">
        <v>0</v>
      </c>
      <c r="CT90" s="32">
        <v>0</v>
      </c>
      <c r="CU90" s="32">
        <v>1.0800276165985132</v>
      </c>
      <c r="CV90" s="32">
        <v>9999</v>
      </c>
      <c r="CW90" s="384">
        <v>0</v>
      </c>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row>
    <row r="91" spans="1:131">
      <c r="A91" s="11" t="s">
        <v>665</v>
      </c>
      <c r="B91" s="11"/>
      <c r="C91" s="32">
        <v>16.279069767441861</v>
      </c>
      <c r="D91" s="32">
        <v>408.5</v>
      </c>
      <c r="E91" s="32">
        <v>0</v>
      </c>
      <c r="F91" s="32">
        <v>2.0115772129567233</v>
      </c>
      <c r="G91" s="32">
        <v>-28</v>
      </c>
      <c r="H91" s="32">
        <v>-78.952145319170185</v>
      </c>
      <c r="I91" s="32"/>
      <c r="J91" s="32"/>
      <c r="K91" s="32"/>
      <c r="L91" s="32">
        <v>462.19278227324287</v>
      </c>
      <c r="M91" s="32">
        <v>0.10803430639777449</v>
      </c>
      <c r="N91" s="32">
        <v>0.10249934193337237</v>
      </c>
      <c r="O91" s="32">
        <v>0</v>
      </c>
      <c r="P91" s="32">
        <v>0</v>
      </c>
      <c r="Q91" s="32">
        <v>0</v>
      </c>
      <c r="R91" s="32">
        <v>0.40113536792213955</v>
      </c>
      <c r="S91" s="32">
        <v>9.9317445313180402E-2</v>
      </c>
      <c r="T91" s="32">
        <v>0.82858046497892279</v>
      </c>
      <c r="U91" s="32">
        <v>1.1804883425692743</v>
      </c>
      <c r="V91" s="32">
        <v>0.1206946327774034</v>
      </c>
      <c r="W91" s="32">
        <v>3.0173658194350843E-2</v>
      </c>
      <c r="X91" s="32">
        <v>0.25144715161959041</v>
      </c>
      <c r="Y91" s="32">
        <v>0</v>
      </c>
      <c r="Z91" s="32">
        <v>0</v>
      </c>
      <c r="AA91" s="32">
        <v>0</v>
      </c>
      <c r="AB91" s="32">
        <v>0</v>
      </c>
      <c r="AC91" s="32">
        <v>-380.52913765909528</v>
      </c>
      <c r="AD91" s="32">
        <v>0</v>
      </c>
      <c r="AE91" s="32">
        <v>0</v>
      </c>
      <c r="AF91" s="32">
        <v>0</v>
      </c>
      <c r="AG91" s="32">
        <v>-78.952145319170185</v>
      </c>
      <c r="AH91" s="32">
        <v>0.521830000699543</v>
      </c>
      <c r="AI91" s="32">
        <v>0.12949110350753124</v>
      </c>
      <c r="AJ91" s="32">
        <v>1.0800276165985132</v>
      </c>
      <c r="AK91" s="32">
        <v>-458.30079463569621</v>
      </c>
      <c r="AL91" s="32">
        <v>-456.56944591489059</v>
      </c>
      <c r="AM91" s="32">
        <v>221.67793965118409</v>
      </c>
      <c r="AN91" s="32">
        <v>38.173758490347623</v>
      </c>
      <c r="AO91" s="32">
        <v>25.985169814153174</v>
      </c>
      <c r="AP91" s="32">
        <v>0</v>
      </c>
      <c r="AQ91" s="32">
        <v>285.83686795568485</v>
      </c>
      <c r="AR91" s="32">
        <v>0.521830000699543</v>
      </c>
      <c r="AS91" s="383">
        <v>547.75859489202264</v>
      </c>
      <c r="AT91" s="32">
        <v>221.67793965118409</v>
      </c>
      <c r="AU91" s="32">
        <v>43.182984717587814</v>
      </c>
      <c r="AV91" s="32">
        <v>26.486092436877193</v>
      </c>
      <c r="AW91" s="32">
        <v>0</v>
      </c>
      <c r="AX91" s="32">
        <v>291.3470168056491</v>
      </c>
      <c r="AY91" s="32">
        <v>0.12949110350753124</v>
      </c>
      <c r="AZ91" s="383">
        <v>2249.938481593867</v>
      </c>
      <c r="BA91" s="32">
        <v>221.67793965118409</v>
      </c>
      <c r="BB91" s="32">
        <v>81.356743207935438</v>
      </c>
      <c r="BC91" s="32">
        <v>30.303468285911954</v>
      </c>
      <c r="BD91" s="32">
        <v>0</v>
      </c>
      <c r="BE91" s="32">
        <v>333.33815114503147</v>
      </c>
      <c r="BF91" s="32">
        <v>0.65132110420707423</v>
      </c>
      <c r="BG91" s="32">
        <v>-17.6727737216798</v>
      </c>
      <c r="BH91" s="383">
        <v>511.78773264354936</v>
      </c>
      <c r="BI91" s="32">
        <v>8.3076080583971645E-2</v>
      </c>
      <c r="BJ91" s="32">
        <v>2.0615168417833171E-2</v>
      </c>
      <c r="BK91" s="32">
        <v>0.17194193739181754</v>
      </c>
      <c r="BL91" s="32">
        <v>-72.962140344198659</v>
      </c>
      <c r="BM91" s="32">
        <v>-72.686507157805025</v>
      </c>
      <c r="BN91" s="32">
        <v>221.67793965118409</v>
      </c>
      <c r="BO91" s="32">
        <v>0</v>
      </c>
      <c r="BP91" s="32">
        <v>81.356743207935438</v>
      </c>
      <c r="BQ91" s="32">
        <v>0</v>
      </c>
      <c r="BR91" s="32">
        <v>0</v>
      </c>
      <c r="BS91" s="32">
        <v>0</v>
      </c>
      <c r="BT91" s="32">
        <v>0</v>
      </c>
      <c r="BU91" s="32">
        <v>0</v>
      </c>
      <c r="BV91" s="32">
        <v>0</v>
      </c>
      <c r="BW91" s="32">
        <v>30.303468285911954</v>
      </c>
      <c r="BX91" s="32">
        <v>2.5095216207835169</v>
      </c>
      <c r="BY91" s="32">
        <v>0.40231544259134466</v>
      </c>
      <c r="BZ91" s="32">
        <v>-380.52913765909528</v>
      </c>
      <c r="CA91" s="32">
        <v>-78.952145319170185</v>
      </c>
      <c r="CB91" s="32">
        <v>333.33815114503147</v>
      </c>
      <c r="CC91" s="32">
        <v>-456.56944591489059</v>
      </c>
      <c r="CD91" s="383">
        <v>272.27465578187531</v>
      </c>
      <c r="CE91" s="32">
        <v>-90.462972128486626</v>
      </c>
      <c r="CF91" s="32">
        <v>4.3908517536970244</v>
      </c>
      <c r="CG91" s="32">
        <v>0</v>
      </c>
      <c r="CH91" s="32">
        <v>4.3908517536970244</v>
      </c>
      <c r="CI91" s="32">
        <v>0.21954157157979032</v>
      </c>
      <c r="CJ91" s="32">
        <v>0</v>
      </c>
      <c r="CK91" s="32">
        <v>0.21954157157979032</v>
      </c>
      <c r="CL91" s="32"/>
      <c r="CM91" s="32">
        <v>0</v>
      </c>
      <c r="CN91" s="32"/>
      <c r="CO91" s="32">
        <v>0</v>
      </c>
      <c r="CP91" s="32">
        <v>0</v>
      </c>
      <c r="CQ91" s="32">
        <v>0</v>
      </c>
      <c r="CR91" s="32">
        <v>0</v>
      </c>
      <c r="CS91" s="32">
        <v>0</v>
      </c>
      <c r="CT91" s="32">
        <v>0</v>
      </c>
      <c r="CU91" s="32">
        <v>1.0800276165985132</v>
      </c>
      <c r="CV91" s="32">
        <v>9999</v>
      </c>
      <c r="CW91" s="384">
        <v>0</v>
      </c>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row>
    <row r="92" spans="1:131">
      <c r="A92" s="11" t="s">
        <v>667</v>
      </c>
      <c r="B92" s="11"/>
      <c r="C92" s="32">
        <v>16.279069767441861</v>
      </c>
      <c r="D92" s="32">
        <v>1195.4000000000001</v>
      </c>
      <c r="E92" s="32">
        <v>0</v>
      </c>
      <c r="F92" s="32">
        <v>134.02315442591345</v>
      </c>
      <c r="G92" s="32">
        <v>-28</v>
      </c>
      <c r="H92" s="32">
        <v>-88.191149031623709</v>
      </c>
      <c r="I92" s="32"/>
      <c r="J92" s="32"/>
      <c r="K92" s="32"/>
      <c r="L92" s="32">
        <v>1352.5220365469634</v>
      </c>
      <c r="M92" s="32">
        <v>0.3161424966166454</v>
      </c>
      <c r="N92" s="32">
        <v>0.29994544271028972</v>
      </c>
      <c r="O92" s="32">
        <v>0</v>
      </c>
      <c r="P92" s="32">
        <v>0</v>
      </c>
      <c r="Q92" s="32">
        <v>0</v>
      </c>
      <c r="R92" s="32">
        <v>26.726007341126671</v>
      </c>
      <c r="S92" s="32">
        <v>6.617114781704359</v>
      </c>
      <c r="T92" s="32">
        <v>55.204924224081694</v>
      </c>
      <c r="U92" s="32">
        <v>78.651105418719141</v>
      </c>
      <c r="V92" s="32">
        <v>8.0413892655548072</v>
      </c>
      <c r="W92" s="32">
        <v>2.0103473163887013</v>
      </c>
      <c r="X92" s="32">
        <v>16.752894303239181</v>
      </c>
      <c r="Y92" s="32">
        <v>0</v>
      </c>
      <c r="Z92" s="32">
        <v>0</v>
      </c>
      <c r="AA92" s="32">
        <v>0</v>
      </c>
      <c r="AB92" s="32">
        <v>0</v>
      </c>
      <c r="AC92" s="32">
        <v>-380.52913765909528</v>
      </c>
      <c r="AD92" s="32">
        <v>0</v>
      </c>
      <c r="AE92" s="32">
        <v>0</v>
      </c>
      <c r="AF92" s="32">
        <v>0</v>
      </c>
      <c r="AG92" s="32">
        <v>-88.191149031623709</v>
      </c>
      <c r="AH92" s="32">
        <v>34.76739660668148</v>
      </c>
      <c r="AI92" s="32">
        <v>8.6274620980930603</v>
      </c>
      <c r="AJ92" s="32">
        <v>71.957818527320882</v>
      </c>
      <c r="AK92" s="32">
        <v>-390.06918127199987</v>
      </c>
      <c r="AL92" s="32">
        <v>-274.71650403990441</v>
      </c>
      <c r="AM92" s="32">
        <v>648.69965497925489</v>
      </c>
      <c r="AN92" s="32">
        <v>111.70847221385941</v>
      </c>
      <c r="AO92" s="32">
        <v>76.040812719311432</v>
      </c>
      <c r="AP92" s="32">
        <v>0</v>
      </c>
      <c r="AQ92" s="32">
        <v>836.44893991242577</v>
      </c>
      <c r="AR92" s="32">
        <v>34.76739660668148</v>
      </c>
      <c r="AS92" s="383">
        <v>24.05842891761645</v>
      </c>
      <c r="AT92" s="32">
        <v>648.69965497925489</v>
      </c>
      <c r="AU92" s="32">
        <v>126.36705001567803</v>
      </c>
      <c r="AV92" s="32">
        <v>77.506670499493296</v>
      </c>
      <c r="AW92" s="32">
        <v>0</v>
      </c>
      <c r="AX92" s="32">
        <v>852.57337549442627</v>
      </c>
      <c r="AY92" s="32">
        <v>8.6274620980930603</v>
      </c>
      <c r="AZ92" s="383">
        <v>98.820877542060913</v>
      </c>
      <c r="BA92" s="32">
        <v>648.69965497925489</v>
      </c>
      <c r="BB92" s="32">
        <v>238.07552222953746</v>
      </c>
      <c r="BC92" s="32">
        <v>88.677517720879237</v>
      </c>
      <c r="BD92" s="32">
        <v>0</v>
      </c>
      <c r="BE92" s="32">
        <v>975.45269492967157</v>
      </c>
      <c r="BF92" s="32">
        <v>43.394858704774542</v>
      </c>
      <c r="BG92" s="32">
        <v>-15.415638623694418</v>
      </c>
      <c r="BH92" s="383">
        <v>22.478531421565542</v>
      </c>
      <c r="BI92" s="32">
        <v>1.891463375502958</v>
      </c>
      <c r="BJ92" s="32">
        <v>0.469362971484235</v>
      </c>
      <c r="BK92" s="32">
        <v>3.9147474821096995</v>
      </c>
      <c r="BL92" s="32">
        <v>-21.221076131614172</v>
      </c>
      <c r="BM92" s="32">
        <v>-14.94550230251728</v>
      </c>
      <c r="BN92" s="32">
        <v>648.69965497925489</v>
      </c>
      <c r="BO92" s="32">
        <v>0</v>
      </c>
      <c r="BP92" s="32">
        <v>238.07552222953746</v>
      </c>
      <c r="BQ92" s="32">
        <v>0</v>
      </c>
      <c r="BR92" s="32">
        <v>0</v>
      </c>
      <c r="BS92" s="32">
        <v>0</v>
      </c>
      <c r="BT92" s="32">
        <v>0</v>
      </c>
      <c r="BU92" s="32">
        <v>0</v>
      </c>
      <c r="BV92" s="32">
        <v>0</v>
      </c>
      <c r="BW92" s="32">
        <v>88.677517720879237</v>
      </c>
      <c r="BX92" s="32">
        <v>167.19915176563188</v>
      </c>
      <c r="BY92" s="32">
        <v>26.804630885182689</v>
      </c>
      <c r="BZ92" s="32">
        <v>-380.52913765909528</v>
      </c>
      <c r="CA92" s="32">
        <v>-88.191149031623709</v>
      </c>
      <c r="CB92" s="32">
        <v>975.45269492967157</v>
      </c>
      <c r="CC92" s="32">
        <v>-274.71650403990441</v>
      </c>
      <c r="CD92" s="383">
        <v>7.4440454814210639</v>
      </c>
      <c r="CE92" s="32">
        <v>-32.721967273198892</v>
      </c>
      <c r="CF92" s="32">
        <v>12.849018816081845</v>
      </c>
      <c r="CG92" s="32">
        <v>0</v>
      </c>
      <c r="CH92" s="32">
        <v>12.849018816081845</v>
      </c>
      <c r="CI92" s="32">
        <v>0.64244796735980758</v>
      </c>
      <c r="CJ92" s="32">
        <v>0</v>
      </c>
      <c r="CK92" s="32">
        <v>0.64244796735980758</v>
      </c>
      <c r="CL92" s="32"/>
      <c r="CM92" s="32">
        <v>0</v>
      </c>
      <c r="CN92" s="32"/>
      <c r="CO92" s="32">
        <v>0</v>
      </c>
      <c r="CP92" s="32">
        <v>0</v>
      </c>
      <c r="CQ92" s="32">
        <v>0</v>
      </c>
      <c r="CR92" s="32">
        <v>0</v>
      </c>
      <c r="CS92" s="32">
        <v>0</v>
      </c>
      <c r="CT92" s="32">
        <v>0</v>
      </c>
      <c r="CU92" s="32">
        <v>71.957818527320882</v>
      </c>
      <c r="CV92" s="32">
        <v>9999</v>
      </c>
      <c r="CW92" s="384">
        <v>0</v>
      </c>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row>
    <row r="93" spans="1:131">
      <c r="A93" s="11" t="s">
        <v>669</v>
      </c>
      <c r="B93" s="11"/>
      <c r="C93" s="32">
        <v>16.279069767441861</v>
      </c>
      <c r="D93" s="32">
        <v>305.29999999999995</v>
      </c>
      <c r="E93" s="32">
        <v>0</v>
      </c>
      <c r="F93" s="32">
        <v>113.40810404906972</v>
      </c>
      <c r="G93" s="32">
        <v>-28</v>
      </c>
      <c r="H93" s="32">
        <v>-75.99143986970131</v>
      </c>
      <c r="I93" s="32"/>
      <c r="J93" s="32"/>
      <c r="K93" s="32"/>
      <c r="L93" s="32">
        <v>345.42828990947618</v>
      </c>
      <c r="M93" s="32">
        <v>8.0741428992020942E-2</v>
      </c>
      <c r="N93" s="32">
        <v>7.6604771339678288E-2</v>
      </c>
      <c r="O93" s="32">
        <v>0</v>
      </c>
      <c r="P93" s="32">
        <v>0</v>
      </c>
      <c r="Q93" s="32">
        <v>0</v>
      </c>
      <c r="R93" s="32">
        <v>22.61509090978879</v>
      </c>
      <c r="S93" s="32">
        <v>5.5992895024941172</v>
      </c>
      <c r="T93" s="32">
        <v>46.713463932730413</v>
      </c>
      <c r="U93" s="32">
        <v>66.553221979498687</v>
      </c>
      <c r="V93" s="32">
        <v>6.8044862429441837</v>
      </c>
      <c r="W93" s="32">
        <v>1.7011215607360455</v>
      </c>
      <c r="X93" s="32">
        <v>14.176013006133715</v>
      </c>
      <c r="Y93" s="32">
        <v>0</v>
      </c>
      <c r="Z93" s="32">
        <v>0</v>
      </c>
      <c r="AA93" s="32">
        <v>0</v>
      </c>
      <c r="AB93" s="32">
        <v>0</v>
      </c>
      <c r="AC93" s="32">
        <v>-380.52913765909528</v>
      </c>
      <c r="AD93" s="32">
        <v>0</v>
      </c>
      <c r="AE93" s="32">
        <v>0</v>
      </c>
      <c r="AF93" s="32">
        <v>0</v>
      </c>
      <c r="AG93" s="32">
        <v>-75.99143986970131</v>
      </c>
      <c r="AH93" s="32">
        <v>29.419577152732973</v>
      </c>
      <c r="AI93" s="32">
        <v>7.3004110632301629</v>
      </c>
      <c r="AJ93" s="32">
        <v>60.889476938864128</v>
      </c>
      <c r="AK93" s="32">
        <v>-389.96735554929791</v>
      </c>
      <c r="AL93" s="32">
        <v>-292.35789039447064</v>
      </c>
      <c r="AM93" s="32">
        <v>165.67509173930594</v>
      </c>
      <c r="AN93" s="32">
        <v>28.529861608575583</v>
      </c>
      <c r="AO93" s="32">
        <v>19.42049533478815</v>
      </c>
      <c r="AP93" s="32">
        <v>0</v>
      </c>
      <c r="AQ93" s="32">
        <v>213.62544868266966</v>
      </c>
      <c r="AR93" s="32">
        <v>29.419577152732973</v>
      </c>
      <c r="AS93" s="383">
        <v>7.2613364758311834</v>
      </c>
      <c r="AT93" s="32">
        <v>165.67509173930594</v>
      </c>
      <c r="AU93" s="32">
        <v>32.273599104723516</v>
      </c>
      <c r="AV93" s="32">
        <v>19.794869084402944</v>
      </c>
      <c r="AW93" s="32">
        <v>0</v>
      </c>
      <c r="AX93" s="32">
        <v>217.74355992843238</v>
      </c>
      <c r="AY93" s="32">
        <v>7.3004110632301629</v>
      </c>
      <c r="AZ93" s="383">
        <v>29.826205407136193</v>
      </c>
      <c r="BA93" s="32">
        <v>165.67509173930594</v>
      </c>
      <c r="BB93" s="32">
        <v>60.803460713299103</v>
      </c>
      <c r="BC93" s="32">
        <v>22.647855245260505</v>
      </c>
      <c r="BD93" s="32">
        <v>0</v>
      </c>
      <c r="BE93" s="32">
        <v>249.12640769786552</v>
      </c>
      <c r="BF93" s="32">
        <v>36.719988215963134</v>
      </c>
      <c r="BG93" s="32">
        <v>-9.9545202026799231</v>
      </c>
      <c r="BH93" s="383">
        <v>6.7844904043178254</v>
      </c>
      <c r="BI93" s="32">
        <v>6.2668404530315955</v>
      </c>
      <c r="BJ93" s="32">
        <v>1.5551043149700785</v>
      </c>
      <c r="BK93" s="32">
        <v>12.970432418637271</v>
      </c>
      <c r="BL93" s="32">
        <v>-83.069283641660675</v>
      </c>
      <c r="BM93" s="32">
        <v>-62.276906455021731</v>
      </c>
      <c r="BN93" s="32">
        <v>165.67509173930594</v>
      </c>
      <c r="BO93" s="32">
        <v>0</v>
      </c>
      <c r="BP93" s="32">
        <v>60.803460713299103</v>
      </c>
      <c r="BQ93" s="32">
        <v>0</v>
      </c>
      <c r="BR93" s="32">
        <v>0</v>
      </c>
      <c r="BS93" s="32">
        <v>0</v>
      </c>
      <c r="BT93" s="32">
        <v>0</v>
      </c>
      <c r="BU93" s="32">
        <v>0</v>
      </c>
      <c r="BV93" s="32">
        <v>0</v>
      </c>
      <c r="BW93" s="32">
        <v>22.647855245260505</v>
      </c>
      <c r="BX93" s="32">
        <v>141.481066324512</v>
      </c>
      <c r="BY93" s="32">
        <v>22.681620809813946</v>
      </c>
      <c r="BZ93" s="32">
        <v>-380.52913765909528</v>
      </c>
      <c r="CA93" s="32">
        <v>-75.99143986970131</v>
      </c>
      <c r="CB93" s="32">
        <v>249.12640769786555</v>
      </c>
      <c r="CC93" s="32">
        <v>-292.3578903944707</v>
      </c>
      <c r="CD93" s="383">
        <v>4.2984614685873614</v>
      </c>
      <c r="CE93" s="32">
        <v>-80.053371425703361</v>
      </c>
      <c r="CF93" s="32">
        <v>3.2815839422367321</v>
      </c>
      <c r="CG93" s="32">
        <v>0</v>
      </c>
      <c r="CH93" s="32">
        <v>3.2815839422367321</v>
      </c>
      <c r="CI93" s="32">
        <v>0.16407843770700115</v>
      </c>
      <c r="CJ93" s="32">
        <v>0</v>
      </c>
      <c r="CK93" s="32">
        <v>0.16407843770700115</v>
      </c>
      <c r="CL93" s="32"/>
      <c r="CM93" s="32">
        <v>0</v>
      </c>
      <c r="CN93" s="32"/>
      <c r="CO93" s="32">
        <v>0</v>
      </c>
      <c r="CP93" s="32">
        <v>0</v>
      </c>
      <c r="CQ93" s="32">
        <v>0</v>
      </c>
      <c r="CR93" s="32">
        <v>0</v>
      </c>
      <c r="CS93" s="32">
        <v>0</v>
      </c>
      <c r="CT93" s="32">
        <v>0</v>
      </c>
      <c r="CU93" s="32">
        <v>60.889476938864128</v>
      </c>
      <c r="CV93" s="32">
        <v>9999</v>
      </c>
      <c r="CW93" s="384">
        <v>0</v>
      </c>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row>
    <row r="94" spans="1:131">
      <c r="A94" s="11" t="s">
        <v>671</v>
      </c>
      <c r="B94" s="11"/>
      <c r="C94" s="32">
        <v>16.279069767441861</v>
      </c>
      <c r="D94" s="32">
        <v>666.5</v>
      </c>
      <c r="E94" s="32">
        <v>0</v>
      </c>
      <c r="F94" s="32">
        <v>162.01157721295672</v>
      </c>
      <c r="G94" s="32">
        <v>-28</v>
      </c>
      <c r="H94" s="32">
        <v>-78.952145319170185</v>
      </c>
      <c r="I94" s="32"/>
      <c r="J94" s="32"/>
      <c r="K94" s="32"/>
      <c r="L94" s="32">
        <v>754.1040131826594</v>
      </c>
      <c r="M94" s="32">
        <v>0.1762664999121584</v>
      </c>
      <c r="N94" s="32">
        <v>0.16723576841760757</v>
      </c>
      <c r="O94" s="32">
        <v>0</v>
      </c>
      <c r="P94" s="32">
        <v>0</v>
      </c>
      <c r="Q94" s="32">
        <v>0</v>
      </c>
      <c r="R94" s="32">
        <v>32.307272728269702</v>
      </c>
      <c r="S94" s="32">
        <v>7.998985003563023</v>
      </c>
      <c r="T94" s="32">
        <v>66.733519903900572</v>
      </c>
      <c r="U94" s="32">
        <v>95.076031399283835</v>
      </c>
      <c r="V94" s="32">
        <v>9.7206946327774038</v>
      </c>
      <c r="W94" s="32">
        <v>2.4301736581943505</v>
      </c>
      <c r="X94" s="32">
        <v>20.25144715161959</v>
      </c>
      <c r="Y94" s="32">
        <v>0</v>
      </c>
      <c r="Z94" s="32">
        <v>0</v>
      </c>
      <c r="AA94" s="32">
        <v>0</v>
      </c>
      <c r="AB94" s="32">
        <v>0</v>
      </c>
      <c r="AC94" s="32">
        <v>-380.52913765909528</v>
      </c>
      <c r="AD94" s="32">
        <v>0</v>
      </c>
      <c r="AE94" s="32">
        <v>0</v>
      </c>
      <c r="AF94" s="32">
        <v>0</v>
      </c>
      <c r="AG94" s="32">
        <v>-78.952145319170185</v>
      </c>
      <c r="AH94" s="32">
        <v>42.027967361047104</v>
      </c>
      <c r="AI94" s="32">
        <v>10.429158661757373</v>
      </c>
      <c r="AJ94" s="32">
        <v>86.984967055520158</v>
      </c>
      <c r="AK94" s="32">
        <v>-364.40525157898162</v>
      </c>
      <c r="AL94" s="32">
        <v>-224.96315850065702</v>
      </c>
      <c r="AM94" s="32">
        <v>361.68505943087922</v>
      </c>
      <c r="AN94" s="32">
        <v>62.283500694777707</v>
      </c>
      <c r="AO94" s="32">
        <v>42.396856012565692</v>
      </c>
      <c r="AP94" s="32">
        <v>0</v>
      </c>
      <c r="AQ94" s="32">
        <v>466.36541613822266</v>
      </c>
      <c r="AR94" s="32">
        <v>42.027967361047104</v>
      </c>
      <c r="AS94" s="383">
        <v>11.096549403206813</v>
      </c>
      <c r="AT94" s="32">
        <v>361.68505943087922</v>
      </c>
      <c r="AU94" s="32">
        <v>70.456448749748532</v>
      </c>
      <c r="AV94" s="32">
        <v>43.214150818062777</v>
      </c>
      <c r="AW94" s="32">
        <v>0</v>
      </c>
      <c r="AX94" s="32">
        <v>475.3556589986905</v>
      </c>
      <c r="AY94" s="32">
        <v>10.429158661757373</v>
      </c>
      <c r="AZ94" s="383">
        <v>45.579482910905327</v>
      </c>
      <c r="BA94" s="32">
        <v>361.68505943087922</v>
      </c>
      <c r="BB94" s="32">
        <v>132.73994944452625</v>
      </c>
      <c r="BC94" s="32">
        <v>49.442500887540547</v>
      </c>
      <c r="BD94" s="32">
        <v>0</v>
      </c>
      <c r="BE94" s="32">
        <v>543.86750976294604</v>
      </c>
      <c r="BF94" s="32">
        <v>52.457126022804474</v>
      </c>
      <c r="BG94" s="32">
        <v>-12.657957334477748</v>
      </c>
      <c r="BH94" s="383">
        <v>10.367848012232175</v>
      </c>
      <c r="BI94" s="32">
        <v>4.1008817711082326</v>
      </c>
      <c r="BJ94" s="32">
        <v>1.0176258650956271</v>
      </c>
      <c r="BK94" s="32">
        <v>8.4875640711819891</v>
      </c>
      <c r="BL94" s="32">
        <v>-35.556867184621403</v>
      </c>
      <c r="BM94" s="32">
        <v>-21.950795477235552</v>
      </c>
      <c r="BN94" s="32">
        <v>361.68505943087922</v>
      </c>
      <c r="BO94" s="32">
        <v>0</v>
      </c>
      <c r="BP94" s="32">
        <v>132.73994944452625</v>
      </c>
      <c r="BQ94" s="32">
        <v>0</v>
      </c>
      <c r="BR94" s="32">
        <v>0</v>
      </c>
      <c r="BS94" s="32">
        <v>0</v>
      </c>
      <c r="BT94" s="32">
        <v>0</v>
      </c>
      <c r="BU94" s="32">
        <v>0</v>
      </c>
      <c r="BV94" s="32">
        <v>0</v>
      </c>
      <c r="BW94" s="32">
        <v>49.442500887540547</v>
      </c>
      <c r="BX94" s="32">
        <v>202.11580903501712</v>
      </c>
      <c r="BY94" s="32">
        <v>32.402315442591345</v>
      </c>
      <c r="BZ94" s="32">
        <v>-380.52913765909528</v>
      </c>
      <c r="CA94" s="32">
        <v>-78.952145319170185</v>
      </c>
      <c r="CB94" s="32">
        <v>543.86750976294604</v>
      </c>
      <c r="CC94" s="32">
        <v>-224.96315850065699</v>
      </c>
      <c r="CD94" s="383">
        <v>4.2783422175841688</v>
      </c>
      <c r="CE94" s="32">
        <v>-39.727260447917153</v>
      </c>
      <c r="CF94" s="32">
        <v>7.1640212823477789</v>
      </c>
      <c r="CG94" s="32">
        <v>0</v>
      </c>
      <c r="CH94" s="32">
        <v>7.1640212823477789</v>
      </c>
      <c r="CI94" s="32">
        <v>0.35819940626176316</v>
      </c>
      <c r="CJ94" s="32">
        <v>0</v>
      </c>
      <c r="CK94" s="32">
        <v>0.35819940626176316</v>
      </c>
      <c r="CL94" s="32"/>
      <c r="CM94" s="32">
        <v>0</v>
      </c>
      <c r="CN94" s="32"/>
      <c r="CO94" s="32">
        <v>0</v>
      </c>
      <c r="CP94" s="32">
        <v>0</v>
      </c>
      <c r="CQ94" s="32">
        <v>0</v>
      </c>
      <c r="CR94" s="32">
        <v>0</v>
      </c>
      <c r="CS94" s="32">
        <v>0</v>
      </c>
      <c r="CT94" s="32">
        <v>0</v>
      </c>
      <c r="CU94" s="32">
        <v>86.984967055520158</v>
      </c>
      <c r="CV94" s="32">
        <v>9999</v>
      </c>
      <c r="CW94" s="384">
        <v>0</v>
      </c>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row>
    <row r="95" spans="1:131">
      <c r="A95" s="11" t="s">
        <v>668</v>
      </c>
      <c r="B95" s="11"/>
      <c r="C95" s="32">
        <v>16.279069767441861</v>
      </c>
      <c r="D95" s="32">
        <v>2919.7</v>
      </c>
      <c r="E95" s="32">
        <v>0</v>
      </c>
      <c r="F95" s="32">
        <v>532.0694632777404</v>
      </c>
      <c r="G95" s="32">
        <v>-28</v>
      </c>
      <c r="H95" s="32">
        <v>-90.31623696009656</v>
      </c>
      <c r="I95" s="32"/>
      <c r="J95" s="32"/>
      <c r="K95" s="32"/>
      <c r="L95" s="32">
        <v>3303.4620964582305</v>
      </c>
      <c r="M95" s="32">
        <v>0.77216098993777771</v>
      </c>
      <c r="N95" s="32">
        <v>0.73260055971326143</v>
      </c>
      <c r="O95" s="32">
        <v>0</v>
      </c>
      <c r="P95" s="32">
        <v>0</v>
      </c>
      <c r="Q95" s="32">
        <v>0</v>
      </c>
      <c r="R95" s="32">
        <v>106.10175862866241</v>
      </c>
      <c r="S95" s="32">
        <v>26.269824236191074</v>
      </c>
      <c r="T95" s="32">
        <v>219.16253596636892</v>
      </c>
      <c r="U95" s="32">
        <v>312.24344498973795</v>
      </c>
      <c r="V95" s="32">
        <v>31.924167796664424</v>
      </c>
      <c r="W95" s="32">
        <v>7.9810419491661042</v>
      </c>
      <c r="X95" s="32">
        <v>66.50868290971755</v>
      </c>
      <c r="Y95" s="32">
        <v>0</v>
      </c>
      <c r="Z95" s="32">
        <v>0</v>
      </c>
      <c r="AA95" s="32">
        <v>0</v>
      </c>
      <c r="AB95" s="32">
        <v>0</v>
      </c>
      <c r="AC95" s="32">
        <v>-380.52913765909528</v>
      </c>
      <c r="AD95" s="32">
        <v>0</v>
      </c>
      <c r="AE95" s="32">
        <v>0</v>
      </c>
      <c r="AF95" s="32">
        <v>0</v>
      </c>
      <c r="AG95" s="32">
        <v>-90.31623696009656</v>
      </c>
      <c r="AH95" s="32">
        <v>138.02592642532684</v>
      </c>
      <c r="AI95" s="32">
        <v>34.250866185357175</v>
      </c>
      <c r="AJ95" s="32">
        <v>285.67121887608647</v>
      </c>
      <c r="AK95" s="32">
        <v>-158.60192962945388</v>
      </c>
      <c r="AL95" s="32">
        <v>299.34608185731651</v>
      </c>
      <c r="AM95" s="32">
        <v>1584.4139055068827</v>
      </c>
      <c r="AN95" s="32">
        <v>272.84191594680038</v>
      </c>
      <c r="AO95" s="32">
        <v>185.72558214536832</v>
      </c>
      <c r="AP95" s="32">
        <v>0</v>
      </c>
      <c r="AQ95" s="32">
        <v>2042.9814035990512</v>
      </c>
      <c r="AR95" s="32">
        <v>138.02592642532684</v>
      </c>
      <c r="AS95" s="383">
        <v>14.801432285291133</v>
      </c>
      <c r="AT95" s="32">
        <v>1584.4139055068827</v>
      </c>
      <c r="AU95" s="32">
        <v>308.64470129728545</v>
      </c>
      <c r="AV95" s="32">
        <v>189.30586068041683</v>
      </c>
      <c r="AW95" s="32">
        <v>0</v>
      </c>
      <c r="AX95" s="32">
        <v>2082.364467484585</v>
      </c>
      <c r="AY95" s="32">
        <v>34.250866185357175</v>
      </c>
      <c r="AZ95" s="383">
        <v>60.797424982344857</v>
      </c>
      <c r="BA95" s="32">
        <v>1584.4139055068827</v>
      </c>
      <c r="BB95" s="32">
        <v>581.48661724408589</v>
      </c>
      <c r="BC95" s="32">
        <v>216.59005227509687</v>
      </c>
      <c r="BD95" s="32">
        <v>0</v>
      </c>
      <c r="BE95" s="32">
        <v>2382.490575026065</v>
      </c>
      <c r="BF95" s="32">
        <v>172.276792610684</v>
      </c>
      <c r="BG95" s="32">
        <v>-13.939148975778181</v>
      </c>
      <c r="BH95" s="383">
        <v>13.829434243125741</v>
      </c>
      <c r="BI95" s="32">
        <v>3.0744076851963693</v>
      </c>
      <c r="BJ95" s="32">
        <v>0.76290830970704138</v>
      </c>
      <c r="BK95" s="32">
        <v>6.3630783976458618</v>
      </c>
      <c r="BL95" s="32">
        <v>-3.5327202937019671</v>
      </c>
      <c r="BM95" s="32">
        <v>6.6676740988473027</v>
      </c>
      <c r="BN95" s="32">
        <v>1584.4139055068827</v>
      </c>
      <c r="BO95" s="32">
        <v>0</v>
      </c>
      <c r="BP95" s="32">
        <v>581.48661724408589</v>
      </c>
      <c r="BQ95" s="32">
        <v>0</v>
      </c>
      <c r="BR95" s="32">
        <v>0</v>
      </c>
      <c r="BS95" s="32">
        <v>0</v>
      </c>
      <c r="BT95" s="32">
        <v>0</v>
      </c>
      <c r="BU95" s="32">
        <v>0</v>
      </c>
      <c r="BV95" s="32">
        <v>0</v>
      </c>
      <c r="BW95" s="32">
        <v>216.59005227509687</v>
      </c>
      <c r="BX95" s="32">
        <v>663.77756382096027</v>
      </c>
      <c r="BY95" s="32">
        <v>106.41389265554808</v>
      </c>
      <c r="BZ95" s="32">
        <v>-380.52913765909528</v>
      </c>
      <c r="CA95" s="32">
        <v>-90.31623696009656</v>
      </c>
      <c r="CB95" s="32">
        <v>2382.490575026065</v>
      </c>
      <c r="CC95" s="32">
        <v>299.34608185731651</v>
      </c>
      <c r="CD95" s="383">
        <v>3.7047099466654321</v>
      </c>
      <c r="CE95" s="32">
        <v>-11.108790871834286</v>
      </c>
      <c r="CF95" s="32">
        <v>31.383035165897827</v>
      </c>
      <c r="CG95" s="32">
        <v>0</v>
      </c>
      <c r="CH95" s="32">
        <v>31.383035165897827</v>
      </c>
      <c r="CI95" s="32">
        <v>1.5691444958176588</v>
      </c>
      <c r="CJ95" s="32">
        <v>0</v>
      </c>
      <c r="CK95" s="32">
        <v>1.5691444958176588</v>
      </c>
      <c r="CL95" s="32"/>
      <c r="CM95" s="32">
        <v>0</v>
      </c>
      <c r="CN95" s="32"/>
      <c r="CO95" s="32">
        <v>0</v>
      </c>
      <c r="CP95" s="32">
        <v>0</v>
      </c>
      <c r="CQ95" s="32">
        <v>0</v>
      </c>
      <c r="CR95" s="32">
        <v>0</v>
      </c>
      <c r="CS95" s="32">
        <v>0</v>
      </c>
      <c r="CT95" s="32">
        <v>0</v>
      </c>
      <c r="CU95" s="32">
        <v>285.67121887608647</v>
      </c>
      <c r="CV95" s="32">
        <v>9999</v>
      </c>
      <c r="CW95" s="384">
        <v>0</v>
      </c>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row>
    <row r="96" spans="1:131">
      <c r="A96" s="11" t="s">
        <v>670</v>
      </c>
      <c r="B96" s="11"/>
      <c r="C96" s="32">
        <v>16.279069767441861</v>
      </c>
      <c r="D96" s="32">
        <v>408.5</v>
      </c>
      <c r="E96" s="32">
        <v>0</v>
      </c>
      <c r="F96" s="32">
        <v>162.01157721295672</v>
      </c>
      <c r="G96" s="32">
        <v>-28</v>
      </c>
      <c r="H96" s="32">
        <v>-78.952145319170185</v>
      </c>
      <c r="I96" s="32"/>
      <c r="J96" s="32"/>
      <c r="K96" s="32"/>
      <c r="L96" s="32">
        <v>462.19278227324287</v>
      </c>
      <c r="M96" s="32">
        <v>0.10803430639777449</v>
      </c>
      <c r="N96" s="32">
        <v>0.10249934193337237</v>
      </c>
      <c r="O96" s="32">
        <v>0</v>
      </c>
      <c r="P96" s="32">
        <v>0</v>
      </c>
      <c r="Q96" s="32">
        <v>0</v>
      </c>
      <c r="R96" s="32">
        <v>32.307272728269702</v>
      </c>
      <c r="S96" s="32">
        <v>7.998985003563023</v>
      </c>
      <c r="T96" s="32">
        <v>66.733519903900572</v>
      </c>
      <c r="U96" s="32">
        <v>95.076031399283835</v>
      </c>
      <c r="V96" s="32">
        <v>9.7206946327774038</v>
      </c>
      <c r="W96" s="32">
        <v>2.4301736581943505</v>
      </c>
      <c r="X96" s="32">
        <v>20.25144715161959</v>
      </c>
      <c r="Y96" s="32">
        <v>0</v>
      </c>
      <c r="Z96" s="32">
        <v>0</v>
      </c>
      <c r="AA96" s="32">
        <v>0</v>
      </c>
      <c r="AB96" s="32">
        <v>0</v>
      </c>
      <c r="AC96" s="32">
        <v>-380.52913765909528</v>
      </c>
      <c r="AD96" s="32">
        <v>0</v>
      </c>
      <c r="AE96" s="32">
        <v>0</v>
      </c>
      <c r="AF96" s="32">
        <v>0</v>
      </c>
      <c r="AG96" s="32">
        <v>-78.952145319170185</v>
      </c>
      <c r="AH96" s="32">
        <v>42.027967361047104</v>
      </c>
      <c r="AI96" s="32">
        <v>10.429158661757373</v>
      </c>
      <c r="AJ96" s="32">
        <v>86.984967055520158</v>
      </c>
      <c r="AK96" s="32">
        <v>-364.40525157898162</v>
      </c>
      <c r="AL96" s="32">
        <v>-224.96315850065702</v>
      </c>
      <c r="AM96" s="32">
        <v>221.67793965118409</v>
      </c>
      <c r="AN96" s="32">
        <v>38.173758490347623</v>
      </c>
      <c r="AO96" s="32">
        <v>25.985169814153174</v>
      </c>
      <c r="AP96" s="32">
        <v>0</v>
      </c>
      <c r="AQ96" s="32">
        <v>285.83686795568485</v>
      </c>
      <c r="AR96" s="32">
        <v>42.027967361047104</v>
      </c>
      <c r="AS96" s="383">
        <v>6.8011109245461112</v>
      </c>
      <c r="AT96" s="32">
        <v>221.67793965118409</v>
      </c>
      <c r="AU96" s="32">
        <v>43.182984717587814</v>
      </c>
      <c r="AV96" s="32">
        <v>26.486092436877193</v>
      </c>
      <c r="AW96" s="32">
        <v>0</v>
      </c>
      <c r="AX96" s="32">
        <v>291.3470168056491</v>
      </c>
      <c r="AY96" s="32">
        <v>10.429158661757373</v>
      </c>
      <c r="AZ96" s="383">
        <v>27.935812106683919</v>
      </c>
      <c r="BA96" s="32">
        <v>221.67793965118409</v>
      </c>
      <c r="BB96" s="32">
        <v>81.356743207935438</v>
      </c>
      <c r="BC96" s="32">
        <v>30.303468285911954</v>
      </c>
      <c r="BD96" s="32">
        <v>0</v>
      </c>
      <c r="BE96" s="32">
        <v>333.33815114503147</v>
      </c>
      <c r="BF96" s="32">
        <v>52.457126022804474</v>
      </c>
      <c r="BG96" s="32">
        <v>-9.4252156695068887</v>
      </c>
      <c r="BH96" s="383">
        <v>6.3544874913681078</v>
      </c>
      <c r="BI96" s="32">
        <v>6.6909123633871159</v>
      </c>
      <c r="BJ96" s="32">
        <v>1.6603369377876021</v>
      </c>
      <c r="BK96" s="32">
        <v>13.848130852981141</v>
      </c>
      <c r="BL96" s="32">
        <v>-58.013835932803339</v>
      </c>
      <c r="BM96" s="32">
        <v>-35.814455778647485</v>
      </c>
      <c r="BN96" s="32">
        <v>221.67793965118409</v>
      </c>
      <c r="BO96" s="32">
        <v>0</v>
      </c>
      <c r="BP96" s="32">
        <v>81.356743207935438</v>
      </c>
      <c r="BQ96" s="32">
        <v>0</v>
      </c>
      <c r="BR96" s="32">
        <v>0</v>
      </c>
      <c r="BS96" s="32">
        <v>0</v>
      </c>
      <c r="BT96" s="32">
        <v>0</v>
      </c>
      <c r="BU96" s="32">
        <v>0</v>
      </c>
      <c r="BV96" s="32">
        <v>0</v>
      </c>
      <c r="BW96" s="32">
        <v>30.303468285911954</v>
      </c>
      <c r="BX96" s="32">
        <v>202.11580903501712</v>
      </c>
      <c r="BY96" s="32">
        <v>32.402315442591345</v>
      </c>
      <c r="BZ96" s="32">
        <v>-380.52913765909528</v>
      </c>
      <c r="CA96" s="32">
        <v>-78.952145319170185</v>
      </c>
      <c r="CB96" s="32">
        <v>333.33815114503147</v>
      </c>
      <c r="CC96" s="32">
        <v>-224.96315850065699</v>
      </c>
      <c r="CD96" s="383">
        <v>3.3806318206292603</v>
      </c>
      <c r="CE96" s="32">
        <v>-53.590920749329072</v>
      </c>
      <c r="CF96" s="32">
        <v>4.3908517536970244</v>
      </c>
      <c r="CG96" s="32">
        <v>0</v>
      </c>
      <c r="CH96" s="32">
        <v>4.3908517536970244</v>
      </c>
      <c r="CI96" s="32">
        <v>0.21954157157979032</v>
      </c>
      <c r="CJ96" s="32">
        <v>0</v>
      </c>
      <c r="CK96" s="32">
        <v>0.21954157157979032</v>
      </c>
      <c r="CL96" s="32"/>
      <c r="CM96" s="32">
        <v>0</v>
      </c>
      <c r="CN96" s="32"/>
      <c r="CO96" s="32">
        <v>0</v>
      </c>
      <c r="CP96" s="32">
        <v>0</v>
      </c>
      <c r="CQ96" s="32">
        <v>0</v>
      </c>
      <c r="CR96" s="32">
        <v>0</v>
      </c>
      <c r="CS96" s="32">
        <v>0</v>
      </c>
      <c r="CT96" s="32">
        <v>0</v>
      </c>
      <c r="CU96" s="32">
        <v>86.984967055520158</v>
      </c>
      <c r="CV96" s="32">
        <v>9999</v>
      </c>
      <c r="CW96" s="384">
        <v>0</v>
      </c>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row>
    <row r="97" spans="1:131">
      <c r="A97" s="11" t="s">
        <v>672</v>
      </c>
      <c r="B97" s="11"/>
      <c r="C97" s="32">
        <v>16.279069767441861</v>
      </c>
      <c r="D97" s="32">
        <v>1195.4000000000001</v>
      </c>
      <c r="E97" s="32">
        <v>0</v>
      </c>
      <c r="F97" s="32">
        <v>324.02315442591345</v>
      </c>
      <c r="G97" s="32">
        <v>-28</v>
      </c>
      <c r="H97" s="32">
        <v>-88.191149031623709</v>
      </c>
      <c r="I97" s="32"/>
      <c r="J97" s="32"/>
      <c r="K97" s="32"/>
      <c r="L97" s="32">
        <v>1352.5220365469634</v>
      </c>
      <c r="M97" s="32">
        <v>0.3161424966166454</v>
      </c>
      <c r="N97" s="32">
        <v>0.29994544271028972</v>
      </c>
      <c r="O97" s="32">
        <v>0</v>
      </c>
      <c r="P97" s="32">
        <v>0</v>
      </c>
      <c r="Q97" s="32">
        <v>0</v>
      </c>
      <c r="R97" s="32">
        <v>64.614545456539403</v>
      </c>
      <c r="S97" s="32">
        <v>15.997970007126046</v>
      </c>
      <c r="T97" s="32">
        <v>133.46703980780114</v>
      </c>
      <c r="U97" s="32">
        <v>190.15206279856767</v>
      </c>
      <c r="V97" s="32">
        <v>19.441389265554808</v>
      </c>
      <c r="W97" s="32">
        <v>4.860347316388701</v>
      </c>
      <c r="X97" s="32">
        <v>40.502894303239181</v>
      </c>
      <c r="Y97" s="32">
        <v>0</v>
      </c>
      <c r="Z97" s="32">
        <v>0</v>
      </c>
      <c r="AA97" s="32">
        <v>0</v>
      </c>
      <c r="AB97" s="32">
        <v>0</v>
      </c>
      <c r="AC97" s="32">
        <v>-380.52913765909528</v>
      </c>
      <c r="AD97" s="32">
        <v>0</v>
      </c>
      <c r="AE97" s="32">
        <v>0</v>
      </c>
      <c r="AF97" s="32">
        <v>0</v>
      </c>
      <c r="AG97" s="32">
        <v>-88.191149031623709</v>
      </c>
      <c r="AH97" s="32">
        <v>84.055934722094207</v>
      </c>
      <c r="AI97" s="32">
        <v>20.858317323514747</v>
      </c>
      <c r="AJ97" s="32">
        <v>173.96993411104032</v>
      </c>
      <c r="AK97" s="32">
        <v>-278.56822389215131</v>
      </c>
      <c r="AL97" s="32">
        <v>0.31596226449794074</v>
      </c>
      <c r="AM97" s="32">
        <v>648.69965497925489</v>
      </c>
      <c r="AN97" s="32">
        <v>111.70847221385941</v>
      </c>
      <c r="AO97" s="32">
        <v>76.040812719311432</v>
      </c>
      <c r="AP97" s="32">
        <v>0</v>
      </c>
      <c r="AQ97" s="32">
        <v>836.44893991242577</v>
      </c>
      <c r="AR97" s="32">
        <v>84.055934722094207</v>
      </c>
      <c r="AS97" s="383">
        <v>9.9510991422306336</v>
      </c>
      <c r="AT97" s="32">
        <v>648.69965497925489</v>
      </c>
      <c r="AU97" s="32">
        <v>126.36705001567803</v>
      </c>
      <c r="AV97" s="32">
        <v>77.506670499493296</v>
      </c>
      <c r="AW97" s="32">
        <v>0</v>
      </c>
      <c r="AX97" s="32">
        <v>852.57337549442627</v>
      </c>
      <c r="AY97" s="32">
        <v>20.858317323514747</v>
      </c>
      <c r="AZ97" s="383">
        <v>40.874504029779651</v>
      </c>
      <c r="BA97" s="32">
        <v>648.69965497925489</v>
      </c>
      <c r="BB97" s="32">
        <v>238.07552222953746</v>
      </c>
      <c r="BC97" s="32">
        <v>88.677517720879237</v>
      </c>
      <c r="BD97" s="32">
        <v>0</v>
      </c>
      <c r="BE97" s="32">
        <v>975.45269492967157</v>
      </c>
      <c r="BF97" s="32">
        <v>104.91425204560895</v>
      </c>
      <c r="BG97" s="32">
        <v>-12.06877659937515</v>
      </c>
      <c r="BH97" s="383">
        <v>9.2976185400017624</v>
      </c>
      <c r="BI97" s="32">
        <v>4.5729257159839998</v>
      </c>
      <c r="BJ97" s="32">
        <v>1.1347626553224619</v>
      </c>
      <c r="BK97" s="32">
        <v>9.4645498635482621</v>
      </c>
      <c r="BL97" s="32">
        <v>-15.155048824382039</v>
      </c>
      <c r="BM97" s="32">
        <v>1.7189410472683558E-2</v>
      </c>
      <c r="BN97" s="32">
        <v>648.69965497925489</v>
      </c>
      <c r="BO97" s="32">
        <v>0</v>
      </c>
      <c r="BP97" s="32">
        <v>238.07552222953746</v>
      </c>
      <c r="BQ97" s="32">
        <v>0</v>
      </c>
      <c r="BR97" s="32">
        <v>0</v>
      </c>
      <c r="BS97" s="32">
        <v>0</v>
      </c>
      <c r="BT97" s="32">
        <v>0</v>
      </c>
      <c r="BU97" s="32">
        <v>0</v>
      </c>
      <c r="BV97" s="32">
        <v>0</v>
      </c>
      <c r="BW97" s="32">
        <v>88.677517720879237</v>
      </c>
      <c r="BX97" s="32">
        <v>404.23161807003424</v>
      </c>
      <c r="BY97" s="32">
        <v>64.804630885182689</v>
      </c>
      <c r="BZ97" s="32">
        <v>-380.52913765909528</v>
      </c>
      <c r="CA97" s="32">
        <v>-88.191149031623709</v>
      </c>
      <c r="CB97" s="32">
        <v>975.45269492967157</v>
      </c>
      <c r="CC97" s="32">
        <v>0.31596226449794074</v>
      </c>
      <c r="CD97" s="383">
        <v>3.079022111483495</v>
      </c>
      <c r="CE97" s="32">
        <v>-17.759275560208927</v>
      </c>
      <c r="CF97" s="32">
        <v>12.849018816081845</v>
      </c>
      <c r="CG97" s="32">
        <v>0</v>
      </c>
      <c r="CH97" s="32">
        <v>12.849018816081845</v>
      </c>
      <c r="CI97" s="32">
        <v>0.64244796735980758</v>
      </c>
      <c r="CJ97" s="32">
        <v>0</v>
      </c>
      <c r="CK97" s="32">
        <v>0.64244796735980758</v>
      </c>
      <c r="CL97" s="32"/>
      <c r="CM97" s="32">
        <v>0</v>
      </c>
      <c r="CN97" s="32"/>
      <c r="CO97" s="32">
        <v>0</v>
      </c>
      <c r="CP97" s="32">
        <v>0</v>
      </c>
      <c r="CQ97" s="32">
        <v>0</v>
      </c>
      <c r="CR97" s="32">
        <v>0</v>
      </c>
      <c r="CS97" s="32">
        <v>0</v>
      </c>
      <c r="CT97" s="32">
        <v>0</v>
      </c>
      <c r="CU97" s="32">
        <v>173.96993411104032</v>
      </c>
      <c r="CV97" s="32">
        <v>9999</v>
      </c>
      <c r="CW97" s="384">
        <v>0</v>
      </c>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row>
    <row r="98" spans="1:131">
      <c r="A98" s="11" t="s">
        <v>673</v>
      </c>
      <c r="B98" s="11"/>
      <c r="C98" s="32">
        <v>16.279069767441861</v>
      </c>
      <c r="D98" s="32">
        <v>2919.7</v>
      </c>
      <c r="E98" s="32">
        <v>0</v>
      </c>
      <c r="F98" s="32">
        <v>972.0694632777404</v>
      </c>
      <c r="G98" s="32">
        <v>-28</v>
      </c>
      <c r="H98" s="32">
        <v>-90.31623696009656</v>
      </c>
      <c r="I98" s="32"/>
      <c r="J98" s="32"/>
      <c r="K98" s="32"/>
      <c r="L98" s="32">
        <v>3303.4620964582305</v>
      </c>
      <c r="M98" s="32">
        <v>0.77216098993777771</v>
      </c>
      <c r="N98" s="32">
        <v>0.73260055971326143</v>
      </c>
      <c r="O98" s="32">
        <v>0</v>
      </c>
      <c r="P98" s="32">
        <v>0</v>
      </c>
      <c r="Q98" s="32">
        <v>0</v>
      </c>
      <c r="R98" s="32">
        <v>193.8436363696182</v>
      </c>
      <c r="S98" s="32">
        <v>47.993910021378142</v>
      </c>
      <c r="T98" s="32">
        <v>400.40111942340354</v>
      </c>
      <c r="U98" s="32">
        <v>570.45618839570307</v>
      </c>
      <c r="V98" s="32">
        <v>58.324167796664426</v>
      </c>
      <c r="W98" s="32">
        <v>14.581041949166103</v>
      </c>
      <c r="X98" s="32">
        <v>121.50868290971755</v>
      </c>
      <c r="Y98" s="32">
        <v>0</v>
      </c>
      <c r="Z98" s="32">
        <v>0</v>
      </c>
      <c r="AA98" s="32">
        <v>0</v>
      </c>
      <c r="AB98" s="32">
        <v>0</v>
      </c>
      <c r="AC98" s="32">
        <v>-380.52913765909528</v>
      </c>
      <c r="AD98" s="32">
        <v>0</v>
      </c>
      <c r="AE98" s="32">
        <v>0</v>
      </c>
      <c r="AF98" s="32">
        <v>0</v>
      </c>
      <c r="AG98" s="32">
        <v>-90.31623696009656</v>
      </c>
      <c r="AH98" s="32">
        <v>252.16780416628262</v>
      </c>
      <c r="AI98" s="32">
        <v>62.574951970544248</v>
      </c>
      <c r="AJ98" s="32">
        <v>521.90980233312109</v>
      </c>
      <c r="AK98" s="32">
        <v>99.610813776511222</v>
      </c>
      <c r="AL98" s="32">
        <v>936.2633722464592</v>
      </c>
      <c r="AM98" s="32">
        <v>1584.4139055068827</v>
      </c>
      <c r="AN98" s="32">
        <v>272.84191594680038</v>
      </c>
      <c r="AO98" s="32">
        <v>185.72558214536832</v>
      </c>
      <c r="AP98" s="32">
        <v>0</v>
      </c>
      <c r="AQ98" s="32">
        <v>2042.9814035990512</v>
      </c>
      <c r="AR98" s="32">
        <v>252.16780416628262</v>
      </c>
      <c r="AS98" s="383">
        <v>8.1016742416961502</v>
      </c>
      <c r="AT98" s="32">
        <v>1584.4139055068827</v>
      </c>
      <c r="AU98" s="32">
        <v>308.64470129728545</v>
      </c>
      <c r="AV98" s="32">
        <v>189.30586068041683</v>
      </c>
      <c r="AW98" s="32">
        <v>0</v>
      </c>
      <c r="AX98" s="32">
        <v>2082.364467484585</v>
      </c>
      <c r="AY98" s="32">
        <v>62.574951970544248</v>
      </c>
      <c r="AZ98" s="383">
        <v>33.277923544628706</v>
      </c>
      <c r="BA98" s="32">
        <v>1584.4139055068827</v>
      </c>
      <c r="BB98" s="32">
        <v>581.48661724408589</v>
      </c>
      <c r="BC98" s="32">
        <v>216.59005227509687</v>
      </c>
      <c r="BD98" s="32">
        <v>0</v>
      </c>
      <c r="BE98" s="32">
        <v>2382.490575026065</v>
      </c>
      <c r="BF98" s="32">
        <v>314.74275613682687</v>
      </c>
      <c r="BG98" s="32">
        <v>-10.765843318738163</v>
      </c>
      <c r="BH98" s="383">
        <v>7.569643871296388</v>
      </c>
      <c r="BI98" s="32">
        <v>5.6168189206637056</v>
      </c>
      <c r="BJ98" s="32">
        <v>1.3938027312797252</v>
      </c>
      <c r="BK98" s="32">
        <v>11.625087755816278</v>
      </c>
      <c r="BL98" s="32">
        <v>2.2187444006677333</v>
      </c>
      <c r="BM98" s="32">
        <v>20.854453808427444</v>
      </c>
      <c r="BN98" s="32">
        <v>1584.4139055068827</v>
      </c>
      <c r="BO98" s="32">
        <v>0</v>
      </c>
      <c r="BP98" s="32">
        <v>581.48661724408589</v>
      </c>
      <c r="BQ98" s="32">
        <v>0</v>
      </c>
      <c r="BR98" s="32">
        <v>0</v>
      </c>
      <c r="BS98" s="32">
        <v>0</v>
      </c>
      <c r="BT98" s="32">
        <v>0</v>
      </c>
      <c r="BU98" s="32">
        <v>0</v>
      </c>
      <c r="BV98" s="32">
        <v>0</v>
      </c>
      <c r="BW98" s="32">
        <v>216.59005227509687</v>
      </c>
      <c r="BX98" s="32">
        <v>1212.6948542101029</v>
      </c>
      <c r="BY98" s="32">
        <v>194.4138926555481</v>
      </c>
      <c r="BZ98" s="32">
        <v>-380.52913765909528</v>
      </c>
      <c r="CA98" s="32">
        <v>-90.31623696009656</v>
      </c>
      <c r="CB98" s="32">
        <v>2382.490575026065</v>
      </c>
      <c r="CC98" s="32">
        <v>936.26337224645908</v>
      </c>
      <c r="CD98" s="383">
        <v>2.0278005918171509</v>
      </c>
      <c r="CE98" s="32">
        <v>3.0779888377458473</v>
      </c>
      <c r="CF98" s="32">
        <v>31.383035165897827</v>
      </c>
      <c r="CG98" s="32">
        <v>0</v>
      </c>
      <c r="CH98" s="32">
        <v>31.383035165897827</v>
      </c>
      <c r="CI98" s="32">
        <v>1.5691444958176588</v>
      </c>
      <c r="CJ98" s="32">
        <v>0</v>
      </c>
      <c r="CK98" s="32">
        <v>1.5691444958176588</v>
      </c>
      <c r="CL98" s="32"/>
      <c r="CM98" s="32">
        <v>0</v>
      </c>
      <c r="CN98" s="32"/>
      <c r="CO98" s="32">
        <v>0</v>
      </c>
      <c r="CP98" s="32">
        <v>0</v>
      </c>
      <c r="CQ98" s="32">
        <v>0</v>
      </c>
      <c r="CR98" s="32">
        <v>0</v>
      </c>
      <c r="CS98" s="32">
        <v>0</v>
      </c>
      <c r="CT98" s="32">
        <v>0</v>
      </c>
      <c r="CU98" s="32">
        <v>521.90980233312109</v>
      </c>
      <c r="CV98" s="32">
        <v>9999</v>
      </c>
      <c r="CW98" s="384">
        <v>0</v>
      </c>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row>
    <row r="99" spans="1:131">
      <c r="A99" s="11"/>
      <c r="B99" s="11"/>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84"/>
      <c r="AT99" s="32"/>
      <c r="AU99" s="32"/>
      <c r="AV99" s="32"/>
      <c r="AW99" s="32"/>
      <c r="AX99" s="32"/>
      <c r="AY99" s="32"/>
      <c r="AZ99" s="384"/>
      <c r="BA99" s="32"/>
      <c r="BB99" s="32"/>
      <c r="BC99" s="32"/>
      <c r="BD99" s="32"/>
      <c r="BE99" s="32"/>
      <c r="BF99" s="32"/>
      <c r="BG99" s="32"/>
      <c r="BH99" s="384"/>
      <c r="BI99" s="32"/>
      <c r="BJ99" s="32"/>
      <c r="BK99" s="32"/>
      <c r="BL99" s="32"/>
      <c r="BM99" s="32"/>
      <c r="BN99" s="32"/>
      <c r="BO99" s="32"/>
      <c r="BP99" s="32"/>
      <c r="BQ99" s="32"/>
      <c r="BR99" s="32"/>
      <c r="BS99" s="32"/>
      <c r="BT99" s="32"/>
      <c r="BU99" s="32"/>
      <c r="BV99" s="32"/>
      <c r="BW99" s="32"/>
      <c r="BX99" s="32"/>
      <c r="BY99" s="32"/>
      <c r="BZ99" s="32"/>
      <c r="CA99" s="32"/>
      <c r="CB99" s="32"/>
      <c r="CC99" s="32"/>
      <c r="CD99" s="384"/>
      <c r="CE99" s="32"/>
      <c r="CF99" s="32"/>
      <c r="CG99" s="32"/>
      <c r="CH99" s="32"/>
      <c r="CI99" s="32"/>
      <c r="CJ99" s="32"/>
      <c r="CK99" s="32"/>
      <c r="CL99" s="32"/>
      <c r="CM99" s="32"/>
      <c r="CN99" s="32"/>
      <c r="CO99" s="32"/>
      <c r="CP99" s="32"/>
      <c r="CQ99" s="32"/>
      <c r="CR99" s="32"/>
      <c r="CS99" s="32"/>
      <c r="CT99" s="32"/>
      <c r="CU99" s="32"/>
      <c r="CV99" s="32"/>
      <c r="CW99" s="384"/>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row>
    <row r="100" spans="1:131">
      <c r="A100" s="11"/>
      <c r="B100" s="11"/>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84"/>
      <c r="AT100" s="32"/>
      <c r="AU100" s="32"/>
      <c r="AV100" s="32"/>
      <c r="AW100" s="32"/>
      <c r="AX100" s="32"/>
      <c r="AY100" s="32"/>
      <c r="AZ100" s="384"/>
      <c r="BA100" s="32"/>
      <c r="BB100" s="32"/>
      <c r="BC100" s="32"/>
      <c r="BD100" s="32"/>
      <c r="BE100" s="32"/>
      <c r="BF100" s="32"/>
      <c r="BG100" s="32"/>
      <c r="BH100" s="384"/>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84"/>
      <c r="CE100" s="32"/>
      <c r="CF100" s="32"/>
      <c r="CG100" s="32"/>
      <c r="CH100" s="32"/>
      <c r="CI100" s="32"/>
      <c r="CJ100" s="32"/>
      <c r="CK100" s="32"/>
      <c r="CL100" s="32"/>
      <c r="CM100" s="32"/>
      <c r="CN100" s="32"/>
      <c r="CO100" s="32"/>
      <c r="CP100" s="32"/>
      <c r="CQ100" s="32"/>
      <c r="CR100" s="32"/>
      <c r="CS100" s="32"/>
      <c r="CT100" s="32"/>
      <c r="CU100" s="32"/>
      <c r="CV100" s="32"/>
      <c r="CW100" s="384"/>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row>
    <row r="101" spans="1:131" ht="13.5" thickBot="1">
      <c r="A101" s="368" t="s">
        <v>613</v>
      </c>
      <c r="B101" s="370"/>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84"/>
      <c r="AT101" s="32"/>
      <c r="AU101" s="32"/>
      <c r="AV101" s="32"/>
      <c r="AW101" s="32"/>
      <c r="AX101" s="32"/>
      <c r="AY101" s="32"/>
      <c r="AZ101" s="384"/>
      <c r="BA101" s="32"/>
      <c r="BB101" s="32"/>
      <c r="BC101" s="32"/>
      <c r="BD101" s="32"/>
      <c r="BE101" s="32"/>
      <c r="BF101" s="32"/>
      <c r="BG101" s="32"/>
      <c r="BH101" s="384"/>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84"/>
      <c r="CE101" s="32"/>
      <c r="CF101" s="32"/>
      <c r="CG101" s="32"/>
      <c r="CH101" s="32"/>
      <c r="CI101" s="32"/>
      <c r="CJ101" s="32"/>
      <c r="CK101" s="32"/>
      <c r="CL101" s="32"/>
      <c r="CM101" s="32"/>
      <c r="CN101" s="32"/>
      <c r="CO101" s="32"/>
      <c r="CP101" s="32"/>
      <c r="CQ101" s="32"/>
      <c r="CR101" s="32"/>
      <c r="CS101" s="32"/>
      <c r="CT101" s="32"/>
      <c r="CU101" s="32"/>
      <c r="CV101" s="32"/>
      <c r="CW101" s="384"/>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row>
    <row r="102" spans="1:131" ht="13.5" thickBot="1">
      <c r="A102" s="385" t="s">
        <v>614</v>
      </c>
      <c r="B102" s="386"/>
      <c r="C102" s="387"/>
      <c r="D102" s="387"/>
      <c r="E102" s="387"/>
      <c r="F102" s="387"/>
      <c r="G102" s="387"/>
      <c r="H102" s="387"/>
      <c r="I102" s="387"/>
      <c r="J102" s="387"/>
      <c r="K102" s="387"/>
      <c r="L102" s="388"/>
      <c r="M102" s="389"/>
      <c r="N102" s="390" t="s">
        <v>959</v>
      </c>
      <c r="O102" s="387"/>
      <c r="P102" s="387"/>
      <c r="Q102" s="387"/>
      <c r="R102" s="387"/>
      <c r="S102" s="387"/>
      <c r="T102" s="387"/>
      <c r="U102" s="387"/>
      <c r="V102" s="387"/>
      <c r="W102" s="387"/>
      <c r="X102" s="387"/>
      <c r="Y102" s="388"/>
      <c r="Z102" s="389"/>
      <c r="AA102" s="390" t="s">
        <v>960</v>
      </c>
      <c r="AB102" s="387"/>
      <c r="AC102" s="387"/>
      <c r="AD102" s="387"/>
      <c r="AE102" s="387"/>
      <c r="AF102" s="387"/>
      <c r="AG102" s="387"/>
      <c r="AH102" s="387"/>
      <c r="AI102" s="387"/>
      <c r="AJ102" s="387"/>
      <c r="AK102" s="387"/>
      <c r="AL102" s="388"/>
      <c r="AM102" s="32"/>
      <c r="AN102" s="32"/>
      <c r="AO102" s="32"/>
      <c r="AP102" s="32"/>
      <c r="AQ102" s="32"/>
      <c r="AR102" s="32"/>
      <c r="AS102" s="384"/>
      <c r="AT102" s="32"/>
      <c r="AU102" s="32"/>
      <c r="AV102" s="32"/>
      <c r="AW102" s="32"/>
      <c r="AX102" s="32"/>
      <c r="AY102" s="32"/>
      <c r="AZ102" s="384"/>
      <c r="BA102" s="32"/>
      <c r="BB102" s="32"/>
      <c r="BC102" s="32"/>
      <c r="BD102" s="32"/>
      <c r="BE102" s="32"/>
      <c r="BF102" s="32"/>
      <c r="BG102" s="32"/>
      <c r="BH102" s="384"/>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84"/>
      <c r="CE102" s="32"/>
      <c r="CF102" s="32"/>
      <c r="CG102" s="32"/>
      <c r="CH102" s="32"/>
      <c r="CI102" s="32"/>
      <c r="CJ102" s="32"/>
      <c r="CK102" s="32"/>
      <c r="CL102" s="32"/>
      <c r="CM102" s="32"/>
      <c r="CN102" s="32"/>
      <c r="CO102" s="32"/>
      <c r="CP102" s="32"/>
      <c r="CQ102" s="32"/>
      <c r="CR102" s="32"/>
      <c r="CS102" s="32"/>
      <c r="CT102" s="32"/>
      <c r="CU102" s="32"/>
      <c r="CV102" s="32"/>
      <c r="CW102" s="384"/>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row>
    <row r="103" spans="1:131" ht="102">
      <c r="A103" s="379"/>
      <c r="B103" s="380" t="s">
        <v>615</v>
      </c>
      <c r="C103" s="381" t="s">
        <v>616</v>
      </c>
      <c r="D103" s="381" t="s">
        <v>617</v>
      </c>
      <c r="E103" s="381" t="s">
        <v>618</v>
      </c>
      <c r="F103" s="381" t="s">
        <v>619</v>
      </c>
      <c r="G103" s="381" t="s">
        <v>620</v>
      </c>
      <c r="H103" s="381" t="s">
        <v>621</v>
      </c>
      <c r="I103" s="381" t="s">
        <v>622</v>
      </c>
      <c r="J103" s="381" t="s">
        <v>623</v>
      </c>
      <c r="K103" s="381" t="s">
        <v>372</v>
      </c>
      <c r="L103" s="381" t="s">
        <v>371</v>
      </c>
      <c r="M103" s="381" t="s">
        <v>624</v>
      </c>
      <c r="N103" s="381" t="s">
        <v>625</v>
      </c>
      <c r="O103" s="381" t="s">
        <v>626</v>
      </c>
      <c r="P103" s="381" t="s">
        <v>627</v>
      </c>
      <c r="Q103" s="381" t="s">
        <v>628</v>
      </c>
      <c r="R103" s="381" t="s">
        <v>629</v>
      </c>
      <c r="S103" s="381" t="s">
        <v>630</v>
      </c>
      <c r="T103" s="381" t="s">
        <v>631</v>
      </c>
      <c r="U103" s="381" t="s">
        <v>632</v>
      </c>
      <c r="V103" s="381" t="s">
        <v>633</v>
      </c>
      <c r="W103" s="381" t="s">
        <v>634</v>
      </c>
      <c r="X103" s="381" t="s">
        <v>635</v>
      </c>
      <c r="Y103" s="381" t="s">
        <v>636</v>
      </c>
      <c r="Z103" s="381"/>
      <c r="AA103" s="381" t="s">
        <v>625</v>
      </c>
      <c r="AB103" s="381" t="s">
        <v>626</v>
      </c>
      <c r="AC103" s="381" t="s">
        <v>627</v>
      </c>
      <c r="AD103" s="381" t="s">
        <v>628</v>
      </c>
      <c r="AE103" s="381" t="s">
        <v>629</v>
      </c>
      <c r="AF103" s="381" t="s">
        <v>630</v>
      </c>
      <c r="AG103" s="381" t="s">
        <v>631</v>
      </c>
      <c r="AH103" s="381" t="s">
        <v>632</v>
      </c>
      <c r="AI103" s="381" t="s">
        <v>633</v>
      </c>
      <c r="AJ103" s="381" t="s">
        <v>634</v>
      </c>
      <c r="AK103" s="381" t="s">
        <v>635</v>
      </c>
      <c r="AL103" s="381" t="s">
        <v>636</v>
      </c>
      <c r="AM103" s="32"/>
      <c r="AN103" s="32"/>
      <c r="AO103" s="32"/>
      <c r="AP103" s="32"/>
      <c r="AQ103" s="32"/>
      <c r="AR103" s="32"/>
      <c r="AS103" s="384"/>
      <c r="AT103" s="32"/>
      <c r="AU103" s="32"/>
      <c r="AV103" s="32"/>
      <c r="AW103" s="32"/>
      <c r="AX103" s="32"/>
      <c r="AY103" s="32"/>
      <c r="AZ103" s="384"/>
      <c r="BA103" s="32"/>
      <c r="BB103" s="32"/>
      <c r="BC103" s="32"/>
      <c r="BD103" s="32"/>
      <c r="BE103" s="32"/>
      <c r="BF103" s="32"/>
      <c r="BG103" s="32"/>
      <c r="BH103" s="384"/>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84"/>
      <c r="CE103" s="32"/>
      <c r="CF103" s="32"/>
      <c r="CG103" s="32"/>
      <c r="CH103" s="32"/>
      <c r="CI103" s="32"/>
      <c r="CJ103" s="32"/>
      <c r="CK103" s="32"/>
      <c r="CL103" s="32"/>
      <c r="CM103" s="32"/>
      <c r="CN103" s="32"/>
      <c r="CO103" s="32"/>
      <c r="CP103" s="32"/>
      <c r="CQ103" s="32"/>
      <c r="CR103" s="32"/>
      <c r="CS103" s="32"/>
      <c r="CT103" s="32"/>
      <c r="CU103" s="32"/>
      <c r="CV103" s="32"/>
      <c r="CW103" s="384"/>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row>
    <row r="104" spans="1:131">
      <c r="A104" s="11"/>
      <c r="B104" s="391" t="s">
        <v>637</v>
      </c>
      <c r="C104" s="392">
        <v>12435.418436741147</v>
      </c>
      <c r="D104" s="392">
        <v>2395.0477523572745</v>
      </c>
      <c r="E104" s="392">
        <v>0</v>
      </c>
      <c r="F104" s="392">
        <v>2395.0477523572745</v>
      </c>
      <c r="G104" s="392">
        <v>-1642.1814219164751</v>
      </c>
      <c r="H104" s="392">
        <v>8968.5506771231612</v>
      </c>
      <c r="I104" s="392">
        <v>1687.1662515723074</v>
      </c>
      <c r="J104" s="392">
        <v>-14.250724705392109</v>
      </c>
      <c r="K104" s="392">
        <v>-27.493434608370514</v>
      </c>
      <c r="L104" s="383">
        <v>317.41863044752813</v>
      </c>
      <c r="M104" s="32">
        <v>118.13702192052244</v>
      </c>
      <c r="N104" s="166">
        <v>516.75259805556902</v>
      </c>
      <c r="O104" s="166">
        <v>379.97997870104194</v>
      </c>
      <c r="P104" s="166">
        <v>351.77649166268031</v>
      </c>
      <c r="Q104" s="166">
        <v>201.16559423645924</v>
      </c>
      <c r="R104" s="166">
        <v>161.58415060604034</v>
      </c>
      <c r="S104" s="166">
        <v>125.40580083830474</v>
      </c>
      <c r="T104" s="166">
        <v>131.34606619684436</v>
      </c>
      <c r="U104" s="166">
        <v>190.72969637191841</v>
      </c>
      <c r="V104" s="166">
        <v>240.54237641704393</v>
      </c>
      <c r="W104" s="166">
        <v>392.04388516808586</v>
      </c>
      <c r="X104" s="166">
        <v>457.0661333679468</v>
      </c>
      <c r="Y104" s="166">
        <v>542.21784199926572</v>
      </c>
      <c r="Z104" s="166"/>
      <c r="AA104" s="166">
        <v>848.47806781625661</v>
      </c>
      <c r="AB104" s="166">
        <v>733.99727915585447</v>
      </c>
      <c r="AC104" s="166">
        <v>737.59325056948614</v>
      </c>
      <c r="AD104" s="166">
        <v>698.88901356126689</v>
      </c>
      <c r="AE104" s="166">
        <v>643.61019834723709</v>
      </c>
      <c r="AF104" s="166">
        <v>584.59988881015386</v>
      </c>
      <c r="AG104" s="166">
        <v>639.11712868771428</v>
      </c>
      <c r="AH104" s="166">
        <v>690.72647331688211</v>
      </c>
      <c r="AI104" s="166">
        <v>741.52701497941655</v>
      </c>
      <c r="AJ104" s="166">
        <v>767.55102807264768</v>
      </c>
      <c r="AK104" s="166">
        <v>809.20790299508508</v>
      </c>
      <c r="AL104" s="166">
        <v>849.51057680794099</v>
      </c>
      <c r="AM104" s="32"/>
      <c r="AN104" s="32"/>
      <c r="AO104" s="32"/>
      <c r="AP104" s="32"/>
      <c r="AQ104" s="32"/>
      <c r="AR104" s="32"/>
      <c r="AS104" s="384"/>
      <c r="AT104" s="32"/>
      <c r="AU104" s="32"/>
      <c r="AV104" s="32"/>
      <c r="AW104" s="32"/>
      <c r="AX104" s="32"/>
      <c r="AY104" s="32"/>
      <c r="AZ104" s="384"/>
      <c r="BA104" s="32"/>
      <c r="BB104" s="32"/>
      <c r="BC104" s="32"/>
      <c r="BD104" s="32"/>
      <c r="BE104" s="32"/>
      <c r="BF104" s="32"/>
      <c r="BG104" s="32"/>
      <c r="BH104" s="384"/>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84"/>
      <c r="CE104" s="32"/>
      <c r="CF104" s="32"/>
      <c r="CG104" s="32"/>
      <c r="CH104" s="32"/>
      <c r="CI104" s="32"/>
      <c r="CJ104" s="32"/>
      <c r="CK104" s="32"/>
      <c r="CL104" s="32"/>
      <c r="CM104" s="32"/>
      <c r="CN104" s="32"/>
      <c r="CO104" s="32"/>
      <c r="CP104" s="32"/>
      <c r="CQ104" s="32"/>
      <c r="CR104" s="32"/>
      <c r="CS104" s="32"/>
      <c r="CT104" s="32"/>
      <c r="CU104" s="32"/>
      <c r="CV104" s="32"/>
      <c r="CW104" s="384"/>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row>
    <row r="105" spans="1:131">
      <c r="A105" s="11"/>
      <c r="B105" s="391" t="s">
        <v>638</v>
      </c>
      <c r="C105" s="392">
        <v>12435.418436741144</v>
      </c>
      <c r="D105" s="392">
        <v>2395.047752357274</v>
      </c>
      <c r="E105" s="392">
        <v>479.00955047145487</v>
      </c>
      <c r="F105" s="392">
        <v>2874.057302828729</v>
      </c>
      <c r="G105" s="392">
        <v>-1163.1718714450205</v>
      </c>
      <c r="H105" s="392">
        <v>8968.5506771231594</v>
      </c>
      <c r="I105" s="392">
        <v>2024.5995018867693</v>
      </c>
      <c r="J105" s="392">
        <v>-13.187842463216755</v>
      </c>
      <c r="K105" s="392">
        <v>-24.659081962569566</v>
      </c>
      <c r="L105" s="383">
        <v>311.93725884349777</v>
      </c>
      <c r="M105" s="32">
        <v>118.1370219205224</v>
      </c>
      <c r="N105" s="166">
        <v>156.48142053795399</v>
      </c>
      <c r="O105" s="166">
        <v>115.0643597474986</v>
      </c>
      <c r="P105" s="166">
        <v>106.52386719362852</v>
      </c>
      <c r="Q105" s="166">
        <v>60.91634191667427</v>
      </c>
      <c r="R105" s="166">
        <v>48.930411803237575</v>
      </c>
      <c r="S105" s="166">
        <v>37.974996028500733</v>
      </c>
      <c r="T105" s="166">
        <v>39.773808777917651</v>
      </c>
      <c r="U105" s="166">
        <v>57.756175661918959</v>
      </c>
      <c r="V105" s="166">
        <v>72.840297084034418</v>
      </c>
      <c r="W105" s="166">
        <v>118.71751452273021</v>
      </c>
      <c r="X105" s="166">
        <v>138.40735024522334</v>
      </c>
      <c r="Y105" s="166">
        <v>164.19272680259456</v>
      </c>
      <c r="Z105" s="166"/>
      <c r="AA105" s="166">
        <v>256.93349940914817</v>
      </c>
      <c r="AB105" s="166">
        <v>222.26678171620935</v>
      </c>
      <c r="AC105" s="166">
        <v>223.35570263723878</v>
      </c>
      <c r="AD105" s="166">
        <v>211.63540551503152</v>
      </c>
      <c r="AE105" s="166">
        <v>194.89604597838871</v>
      </c>
      <c r="AF105" s="166">
        <v>177.0267268932156</v>
      </c>
      <c r="AG105" s="166">
        <v>193.53546854627967</v>
      </c>
      <c r="AH105" s="166">
        <v>209.16365037060515</v>
      </c>
      <c r="AI105" s="166">
        <v>224.54691298672472</v>
      </c>
      <c r="AJ105" s="166">
        <v>232.42742399382988</v>
      </c>
      <c r="AK105" s="166">
        <v>245.04182978020179</v>
      </c>
      <c r="AL105" s="166">
        <v>257.24616058268629</v>
      </c>
      <c r="AM105" s="32"/>
      <c r="AN105" s="32"/>
      <c r="AO105" s="32"/>
      <c r="AP105" s="32"/>
      <c r="AQ105" s="32"/>
      <c r="AR105" s="32"/>
      <c r="AS105" s="384"/>
      <c r="AT105" s="32"/>
      <c r="AU105" s="32"/>
      <c r="AV105" s="32"/>
      <c r="AW105" s="32"/>
      <c r="AX105" s="32"/>
      <c r="AY105" s="32"/>
      <c r="AZ105" s="384"/>
      <c r="BA105" s="32"/>
      <c r="BB105" s="32"/>
      <c r="BC105" s="32"/>
      <c r="BD105" s="32"/>
      <c r="BE105" s="32"/>
      <c r="BF105" s="32"/>
      <c r="BG105" s="32"/>
      <c r="BH105" s="384"/>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84"/>
      <c r="CE105" s="32"/>
      <c r="CF105" s="32"/>
      <c r="CG105" s="32"/>
      <c r="CH105" s="32"/>
      <c r="CI105" s="32"/>
      <c r="CJ105" s="32"/>
      <c r="CK105" s="32"/>
      <c r="CL105" s="32"/>
      <c r="CM105" s="32"/>
      <c r="CN105" s="32"/>
      <c r="CO105" s="32"/>
      <c r="CP105" s="32"/>
      <c r="CQ105" s="32"/>
      <c r="CR105" s="32"/>
      <c r="CS105" s="32"/>
      <c r="CT105" s="32"/>
      <c r="CU105" s="32"/>
      <c r="CV105" s="32"/>
      <c r="CW105" s="384"/>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row>
    <row r="106" spans="1:131">
      <c r="A106" s="11"/>
      <c r="B106" s="391" t="s">
        <v>639</v>
      </c>
      <c r="C106" s="393"/>
      <c r="D106" s="393"/>
      <c r="E106" s="393"/>
      <c r="F106" s="393"/>
      <c r="G106" s="393"/>
      <c r="H106" s="393"/>
      <c r="I106" s="393"/>
      <c r="J106" s="393"/>
      <c r="K106" s="393"/>
      <c r="L106" s="384"/>
      <c r="M106" s="394"/>
      <c r="N106" s="394"/>
      <c r="O106" s="394"/>
      <c r="P106" s="394"/>
      <c r="Q106" s="394"/>
      <c r="R106" s="394"/>
      <c r="S106" s="394"/>
      <c r="T106" s="394"/>
      <c r="U106" s="394"/>
      <c r="V106" s="394"/>
      <c r="W106" s="394"/>
      <c r="X106" s="394"/>
      <c r="Y106" s="394"/>
      <c r="Z106" s="394"/>
      <c r="AA106" s="394"/>
      <c r="AB106" s="394"/>
      <c r="AC106" s="394"/>
      <c r="AD106" s="394"/>
      <c r="AE106" s="394"/>
      <c r="AF106" s="394"/>
      <c r="AG106" s="394"/>
      <c r="AH106" s="394"/>
      <c r="AI106" s="394"/>
      <c r="AJ106" s="394"/>
      <c r="AK106" s="394"/>
      <c r="AL106" s="394"/>
      <c r="AM106" s="32"/>
      <c r="AN106" s="32"/>
      <c r="AO106" s="32"/>
      <c r="AP106" s="32"/>
      <c r="AQ106" s="32"/>
      <c r="AR106" s="32"/>
      <c r="AS106" s="384"/>
      <c r="AT106" s="32"/>
      <c r="AU106" s="32"/>
      <c r="AV106" s="32"/>
      <c r="AW106" s="32"/>
      <c r="AX106" s="32"/>
      <c r="AY106" s="32"/>
      <c r="AZ106" s="384"/>
      <c r="BA106" s="32"/>
      <c r="BB106" s="32"/>
      <c r="BC106" s="32"/>
      <c r="BD106" s="32"/>
      <c r="BE106" s="32"/>
      <c r="BF106" s="32"/>
      <c r="BG106" s="32"/>
      <c r="BH106" s="384"/>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84"/>
      <c r="CE106" s="32"/>
      <c r="CF106" s="32"/>
      <c r="CG106" s="32"/>
      <c r="CH106" s="32"/>
      <c r="CI106" s="32"/>
      <c r="CJ106" s="32"/>
      <c r="CK106" s="32"/>
      <c r="CL106" s="32"/>
      <c r="CM106" s="32"/>
      <c r="CN106" s="32"/>
      <c r="CO106" s="32"/>
      <c r="CP106" s="32"/>
      <c r="CQ106" s="32"/>
      <c r="CR106" s="32"/>
      <c r="CS106" s="32"/>
      <c r="CT106" s="32"/>
      <c r="CU106" s="32"/>
      <c r="CV106" s="32"/>
      <c r="CW106" s="384"/>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row>
    <row r="107" spans="1:131">
      <c r="A107" s="11"/>
      <c r="B107" s="11" t="s">
        <v>640</v>
      </c>
      <c r="C107" s="32">
        <v>9131.9563402829135</v>
      </c>
      <c r="D107" s="32">
        <v>1422.9782890795336</v>
      </c>
      <c r="E107" s="32">
        <v>284.59565781590675</v>
      </c>
      <c r="F107" s="32">
        <v>1707.5739468954403</v>
      </c>
      <c r="G107" s="32">
        <v>-2099.4352436914796</v>
      </c>
      <c r="H107" s="32">
        <v>6586.0601020970944</v>
      </c>
      <c r="I107" s="32">
        <v>1638.0222613220069</v>
      </c>
      <c r="J107" s="32">
        <v>-14.063994524538526</v>
      </c>
      <c r="K107" s="32">
        <v>-34.692897132209502</v>
      </c>
      <c r="L107" s="383">
        <v>424.04622109863402</v>
      </c>
      <c r="M107" s="32">
        <v>86.753986754624577</v>
      </c>
      <c r="N107" s="166">
        <v>379.47755342343629</v>
      </c>
      <c r="O107" s="166">
        <v>279.03850548585905</v>
      </c>
      <c r="P107" s="166">
        <v>258.32725933131877</v>
      </c>
      <c r="Q107" s="166">
        <v>147.72606431214163</v>
      </c>
      <c r="R107" s="166">
        <v>118.65940950216657</v>
      </c>
      <c r="S107" s="166">
        <v>92.091818534232402</v>
      </c>
      <c r="T107" s="166">
        <v>96.454055653942433</v>
      </c>
      <c r="U107" s="166">
        <v>140.06245699925313</v>
      </c>
      <c r="V107" s="166">
        <v>176.64242587433154</v>
      </c>
      <c r="W107" s="166">
        <v>287.89764180770624</v>
      </c>
      <c r="X107" s="166">
        <v>335.64676538796414</v>
      </c>
      <c r="Y107" s="166">
        <v>398.17796926158923</v>
      </c>
      <c r="Z107" s="166"/>
      <c r="AA107" s="166">
        <v>623.08033383846396</v>
      </c>
      <c r="AB107" s="166">
        <v>539.01130398103999</v>
      </c>
      <c r="AC107" s="166">
        <v>541.65200755826515</v>
      </c>
      <c r="AD107" s="166">
        <v>513.22952991177544</v>
      </c>
      <c r="AE107" s="166">
        <v>472.63550168144144</v>
      </c>
      <c r="AF107" s="166">
        <v>429.30124855111848</v>
      </c>
      <c r="AG107" s="166">
        <v>469.33601351597804</v>
      </c>
      <c r="AH107" s="166">
        <v>507.23536401243661</v>
      </c>
      <c r="AI107" s="166">
        <v>544.54076960734142</v>
      </c>
      <c r="AJ107" s="166">
        <v>563.65151787650996</v>
      </c>
      <c r="AK107" s="166">
        <v>594.24226679255662</v>
      </c>
      <c r="AL107" s="166">
        <v>623.83855738204409</v>
      </c>
      <c r="AM107" s="32"/>
      <c r="AN107" s="32"/>
      <c r="AO107" s="32"/>
      <c r="AP107" s="32"/>
      <c r="AQ107" s="32"/>
      <c r="AR107" s="32"/>
      <c r="AS107" s="384"/>
      <c r="AT107" s="32"/>
      <c r="AU107" s="32"/>
      <c r="AV107" s="32"/>
      <c r="AW107" s="32"/>
      <c r="AX107" s="32"/>
      <c r="AY107" s="32"/>
      <c r="AZ107" s="384"/>
      <c r="BA107" s="32"/>
      <c r="BB107" s="32"/>
      <c r="BC107" s="32"/>
      <c r="BD107" s="32"/>
      <c r="BE107" s="32"/>
      <c r="BF107" s="32"/>
      <c r="BG107" s="32"/>
      <c r="BH107" s="384"/>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84"/>
      <c r="CE107" s="32"/>
      <c r="CF107" s="32"/>
      <c r="CG107" s="32"/>
      <c r="CH107" s="32"/>
      <c r="CI107" s="32"/>
      <c r="CJ107" s="32"/>
      <c r="CK107" s="32"/>
      <c r="CL107" s="32"/>
      <c r="CM107" s="32"/>
      <c r="CN107" s="32"/>
      <c r="CO107" s="32"/>
      <c r="CP107" s="32"/>
      <c r="CQ107" s="32"/>
      <c r="CR107" s="32"/>
      <c r="CS107" s="32"/>
      <c r="CT107" s="32"/>
      <c r="CU107" s="32"/>
      <c r="CV107" s="32"/>
      <c r="CW107" s="384"/>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row>
    <row r="108" spans="1:131">
      <c r="A108" s="11"/>
      <c r="B108" s="11" t="s">
        <v>641</v>
      </c>
      <c r="C108" s="32">
        <v>3303.4620964582305</v>
      </c>
      <c r="D108" s="32">
        <v>972.0694632777404</v>
      </c>
      <c r="E108" s="32">
        <v>194.4138926555481</v>
      </c>
      <c r="F108" s="32">
        <v>1166.4833559332885</v>
      </c>
      <c r="G108" s="32">
        <v>936.26337224645908</v>
      </c>
      <c r="H108" s="32">
        <v>2382.490575026065</v>
      </c>
      <c r="I108" s="32">
        <v>3093.2379121077684</v>
      </c>
      <c r="J108" s="32">
        <v>-10.765843318738163</v>
      </c>
      <c r="K108" s="32">
        <v>3.0779888377458473</v>
      </c>
      <c r="L108" s="383">
        <v>2.0278005918171509</v>
      </c>
      <c r="M108" s="32">
        <v>31.383035165897827</v>
      </c>
      <c r="N108" s="166">
        <v>137.27504463213276</v>
      </c>
      <c r="O108" s="166">
        <v>100.94147321518288</v>
      </c>
      <c r="P108" s="166">
        <v>93.449232331361458</v>
      </c>
      <c r="Q108" s="166">
        <v>53.439529924317611</v>
      </c>
      <c r="R108" s="166">
        <v>42.924741103873792</v>
      </c>
      <c r="S108" s="166">
        <v>33.313982304072347</v>
      </c>
      <c r="T108" s="166">
        <v>34.892010542901922</v>
      </c>
      <c r="U108" s="166">
        <v>50.667239372665343</v>
      </c>
      <c r="V108" s="166">
        <v>63.899950542712368</v>
      </c>
      <c r="W108" s="166">
        <v>104.1462433603796</v>
      </c>
      <c r="X108" s="166">
        <v>121.41936797998275</v>
      </c>
      <c r="Y108" s="166">
        <v>144.03987273767663</v>
      </c>
      <c r="Z108" s="166"/>
      <c r="AA108" s="166">
        <v>225.39773397779277</v>
      </c>
      <c r="AB108" s="166">
        <v>194.98597517481414</v>
      </c>
      <c r="AC108" s="166">
        <v>195.9412430112211</v>
      </c>
      <c r="AD108" s="166">
        <v>185.65948364949148</v>
      </c>
      <c r="AE108" s="166">
        <v>170.97469666579579</v>
      </c>
      <c r="AF108" s="166">
        <v>155.29864025903538</v>
      </c>
      <c r="AG108" s="166">
        <v>169.7811151717363</v>
      </c>
      <c r="AH108" s="166">
        <v>183.49110930444562</v>
      </c>
      <c r="AI108" s="166">
        <v>196.98624537207505</v>
      </c>
      <c r="AJ108" s="166">
        <v>203.89951019613758</v>
      </c>
      <c r="AK108" s="166">
        <v>214.96563620252846</v>
      </c>
      <c r="AL108" s="166">
        <v>225.67201942589662</v>
      </c>
      <c r="AM108" s="32"/>
      <c r="AN108" s="32"/>
      <c r="AO108" s="32"/>
      <c r="AP108" s="32"/>
      <c r="AQ108" s="32"/>
      <c r="AR108" s="32"/>
      <c r="AS108" s="384"/>
      <c r="AT108" s="32"/>
      <c r="AU108" s="32"/>
      <c r="AV108" s="32"/>
      <c r="AW108" s="32"/>
      <c r="AX108" s="32"/>
      <c r="AY108" s="32"/>
      <c r="AZ108" s="384"/>
      <c r="BA108" s="32"/>
      <c r="BB108" s="32"/>
      <c r="BC108" s="32"/>
      <c r="BD108" s="32"/>
      <c r="BE108" s="32"/>
      <c r="BF108" s="32"/>
      <c r="BG108" s="32"/>
      <c r="BH108" s="384"/>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84"/>
      <c r="CE108" s="32"/>
      <c r="CF108" s="32"/>
      <c r="CG108" s="32"/>
      <c r="CH108" s="32"/>
      <c r="CI108" s="32"/>
      <c r="CJ108" s="32"/>
      <c r="CK108" s="32"/>
      <c r="CL108" s="32"/>
      <c r="CM108" s="32"/>
      <c r="CN108" s="32"/>
      <c r="CO108" s="32"/>
      <c r="CP108" s="32"/>
      <c r="CQ108" s="32"/>
      <c r="CR108" s="32"/>
      <c r="CS108" s="32"/>
      <c r="CT108" s="32"/>
      <c r="CU108" s="32"/>
      <c r="CV108" s="32"/>
      <c r="CW108" s="384"/>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row>
    <row r="109" spans="1:131">
      <c r="A109" s="11"/>
      <c r="B109" s="11" t="s">
        <v>642</v>
      </c>
      <c r="C109" s="394">
        <v>0</v>
      </c>
      <c r="D109" s="394">
        <v>0</v>
      </c>
      <c r="E109" s="394">
        <v>0</v>
      </c>
      <c r="F109" s="394">
        <v>0</v>
      </c>
      <c r="G109" s="394">
        <v>0</v>
      </c>
      <c r="H109" s="394">
        <v>0</v>
      </c>
      <c r="I109" s="394">
        <v>0</v>
      </c>
      <c r="J109" s="394">
        <v>0</v>
      </c>
      <c r="K109" s="394">
        <v>0</v>
      </c>
      <c r="L109" s="395">
        <v>0</v>
      </c>
      <c r="M109" s="394">
        <v>0</v>
      </c>
      <c r="N109" s="394">
        <v>0</v>
      </c>
      <c r="O109" s="394">
        <v>0</v>
      </c>
      <c r="P109" s="394">
        <v>0</v>
      </c>
      <c r="Q109" s="394">
        <v>0</v>
      </c>
      <c r="R109" s="394">
        <v>0</v>
      </c>
      <c r="S109" s="394">
        <v>0</v>
      </c>
      <c r="T109" s="394">
        <v>0</v>
      </c>
      <c r="U109" s="394">
        <v>0</v>
      </c>
      <c r="V109" s="394">
        <v>0</v>
      </c>
      <c r="W109" s="394">
        <v>0</v>
      </c>
      <c r="X109" s="394">
        <v>0</v>
      </c>
      <c r="Y109" s="394">
        <v>0</v>
      </c>
      <c r="Z109" s="394"/>
      <c r="AA109" s="394">
        <v>0</v>
      </c>
      <c r="AB109" s="394">
        <v>0</v>
      </c>
      <c r="AC109" s="394">
        <v>0</v>
      </c>
      <c r="AD109" s="394">
        <v>0</v>
      </c>
      <c r="AE109" s="394">
        <v>0</v>
      </c>
      <c r="AF109" s="394">
        <v>0</v>
      </c>
      <c r="AG109" s="394">
        <v>0</v>
      </c>
      <c r="AH109" s="394">
        <v>0</v>
      </c>
      <c r="AI109" s="394">
        <v>0</v>
      </c>
      <c r="AJ109" s="394">
        <v>0</v>
      </c>
      <c r="AK109" s="394">
        <v>0</v>
      </c>
      <c r="AL109" s="394">
        <v>0</v>
      </c>
      <c r="AM109" s="32"/>
      <c r="AN109" s="32"/>
      <c r="AO109" s="32"/>
      <c r="AP109" s="32"/>
      <c r="AQ109" s="32"/>
      <c r="AR109" s="32"/>
      <c r="AS109" s="384"/>
      <c r="AT109" s="32"/>
      <c r="AU109" s="32"/>
      <c r="AV109" s="32"/>
      <c r="AW109" s="32"/>
      <c r="AX109" s="32"/>
      <c r="AY109" s="32"/>
      <c r="AZ109" s="384"/>
      <c r="BA109" s="32"/>
      <c r="BB109" s="32"/>
      <c r="BC109" s="32"/>
      <c r="BD109" s="32"/>
      <c r="BE109" s="32"/>
      <c r="BF109" s="32"/>
      <c r="BG109" s="32"/>
      <c r="BH109" s="384"/>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84"/>
      <c r="CE109" s="32"/>
      <c r="CF109" s="32"/>
      <c r="CG109" s="32"/>
      <c r="CH109" s="32"/>
      <c r="CI109" s="32"/>
      <c r="CJ109" s="32"/>
      <c r="CK109" s="32"/>
      <c r="CL109" s="32"/>
      <c r="CM109" s="32"/>
      <c r="CN109" s="32"/>
      <c r="CO109" s="32"/>
      <c r="CP109" s="32"/>
      <c r="CQ109" s="32"/>
      <c r="CR109" s="32"/>
      <c r="CS109" s="32"/>
      <c r="CT109" s="32"/>
      <c r="CU109" s="32"/>
      <c r="CV109" s="32"/>
      <c r="CW109" s="384"/>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row>
    <row r="110" spans="1:131">
      <c r="A110" s="11"/>
      <c r="B110" s="11" t="s">
        <v>643</v>
      </c>
      <c r="C110" s="394">
        <v>0</v>
      </c>
      <c r="D110" s="394">
        <v>0</v>
      </c>
      <c r="E110" s="394">
        <v>0</v>
      </c>
      <c r="F110" s="394">
        <v>0</v>
      </c>
      <c r="G110" s="394">
        <v>0</v>
      </c>
      <c r="H110" s="394">
        <v>0</v>
      </c>
      <c r="I110" s="394">
        <v>0</v>
      </c>
      <c r="J110" s="394">
        <v>0</v>
      </c>
      <c r="K110" s="394">
        <v>0</v>
      </c>
      <c r="L110" s="395">
        <v>0</v>
      </c>
      <c r="M110" s="394">
        <v>0</v>
      </c>
      <c r="N110" s="394">
        <v>0</v>
      </c>
      <c r="O110" s="394">
        <v>0</v>
      </c>
      <c r="P110" s="394">
        <v>0</v>
      </c>
      <c r="Q110" s="394">
        <v>0</v>
      </c>
      <c r="R110" s="394">
        <v>0</v>
      </c>
      <c r="S110" s="394">
        <v>0</v>
      </c>
      <c r="T110" s="394">
        <v>0</v>
      </c>
      <c r="U110" s="394">
        <v>0</v>
      </c>
      <c r="V110" s="394">
        <v>0</v>
      </c>
      <c r="W110" s="394">
        <v>0</v>
      </c>
      <c r="X110" s="394">
        <v>0</v>
      </c>
      <c r="Y110" s="394">
        <v>0</v>
      </c>
      <c r="Z110" s="394"/>
      <c r="AA110" s="394">
        <v>0</v>
      </c>
      <c r="AB110" s="394">
        <v>0</v>
      </c>
      <c r="AC110" s="394">
        <v>0</v>
      </c>
      <c r="AD110" s="394">
        <v>0</v>
      </c>
      <c r="AE110" s="394">
        <v>0</v>
      </c>
      <c r="AF110" s="394">
        <v>0</v>
      </c>
      <c r="AG110" s="394">
        <v>0</v>
      </c>
      <c r="AH110" s="394">
        <v>0</v>
      </c>
      <c r="AI110" s="394">
        <v>0</v>
      </c>
      <c r="AJ110" s="394">
        <v>0</v>
      </c>
      <c r="AK110" s="394">
        <v>0</v>
      </c>
      <c r="AL110" s="394">
        <v>0</v>
      </c>
      <c r="AM110" s="32"/>
      <c r="AN110" s="32"/>
      <c r="AO110" s="32"/>
      <c r="AP110" s="32"/>
      <c r="AQ110" s="32"/>
      <c r="AR110" s="32"/>
      <c r="AS110" s="384"/>
      <c r="AT110" s="32"/>
      <c r="AU110" s="32"/>
      <c r="AV110" s="32"/>
      <c r="AW110" s="32"/>
      <c r="AX110" s="32"/>
      <c r="AY110" s="32"/>
      <c r="AZ110" s="384"/>
      <c r="BA110" s="32"/>
      <c r="BB110" s="32"/>
      <c r="BC110" s="32"/>
      <c r="BD110" s="32"/>
      <c r="BE110" s="32"/>
      <c r="BF110" s="32"/>
      <c r="BG110" s="32"/>
      <c r="BH110" s="384"/>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84"/>
      <c r="CE110" s="32"/>
      <c r="CF110" s="32"/>
      <c r="CG110" s="32"/>
      <c r="CH110" s="32"/>
      <c r="CI110" s="32"/>
      <c r="CJ110" s="32"/>
      <c r="CK110" s="32"/>
      <c r="CL110" s="32"/>
      <c r="CM110" s="32"/>
      <c r="CN110" s="32"/>
      <c r="CO110" s="32"/>
      <c r="CP110" s="32"/>
      <c r="CQ110" s="32"/>
      <c r="CR110" s="32"/>
      <c r="CS110" s="32"/>
      <c r="CT110" s="32"/>
      <c r="CU110" s="32"/>
      <c r="CV110" s="32"/>
      <c r="CW110" s="384"/>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row>
    <row r="111" spans="1:131">
      <c r="A111" s="11"/>
      <c r="B111" s="11" t="s">
        <v>644</v>
      </c>
      <c r="C111" s="394">
        <v>0</v>
      </c>
      <c r="D111" s="394">
        <v>0</v>
      </c>
      <c r="E111" s="394">
        <v>0</v>
      </c>
      <c r="F111" s="394">
        <v>0</v>
      </c>
      <c r="G111" s="394">
        <v>0</v>
      </c>
      <c r="H111" s="394">
        <v>0</v>
      </c>
      <c r="I111" s="394">
        <v>0</v>
      </c>
      <c r="J111" s="394">
        <v>0</v>
      </c>
      <c r="K111" s="394">
        <v>0</v>
      </c>
      <c r="L111" s="395">
        <v>0</v>
      </c>
      <c r="M111" s="394">
        <v>0</v>
      </c>
      <c r="N111" s="394">
        <v>0</v>
      </c>
      <c r="O111" s="394">
        <v>0</v>
      </c>
      <c r="P111" s="394">
        <v>0</v>
      </c>
      <c r="Q111" s="394">
        <v>0</v>
      </c>
      <c r="R111" s="394">
        <v>0</v>
      </c>
      <c r="S111" s="394">
        <v>0</v>
      </c>
      <c r="T111" s="394">
        <v>0</v>
      </c>
      <c r="U111" s="394">
        <v>0</v>
      </c>
      <c r="V111" s="394">
        <v>0</v>
      </c>
      <c r="W111" s="394">
        <v>0</v>
      </c>
      <c r="X111" s="394">
        <v>0</v>
      </c>
      <c r="Y111" s="394">
        <v>0</v>
      </c>
      <c r="Z111" s="394"/>
      <c r="AA111" s="394">
        <v>0</v>
      </c>
      <c r="AB111" s="394">
        <v>0</v>
      </c>
      <c r="AC111" s="394">
        <v>0</v>
      </c>
      <c r="AD111" s="394">
        <v>0</v>
      </c>
      <c r="AE111" s="394">
        <v>0</v>
      </c>
      <c r="AF111" s="394">
        <v>0</v>
      </c>
      <c r="AG111" s="394">
        <v>0</v>
      </c>
      <c r="AH111" s="394">
        <v>0</v>
      </c>
      <c r="AI111" s="394">
        <v>0</v>
      </c>
      <c r="AJ111" s="394">
        <v>0</v>
      </c>
      <c r="AK111" s="394">
        <v>0</v>
      </c>
      <c r="AL111" s="394">
        <v>0</v>
      </c>
      <c r="AM111" s="32"/>
      <c r="AN111" s="32"/>
      <c r="AO111" s="32"/>
      <c r="AP111" s="32"/>
      <c r="AQ111" s="32"/>
      <c r="AR111" s="32"/>
      <c r="AS111" s="384"/>
      <c r="AT111" s="32"/>
      <c r="AU111" s="32"/>
      <c r="AV111" s="32"/>
      <c r="AW111" s="32"/>
      <c r="AX111" s="32"/>
      <c r="AY111" s="32"/>
      <c r="AZ111" s="384"/>
      <c r="BA111" s="32"/>
      <c r="BB111" s="32"/>
      <c r="BC111" s="32"/>
      <c r="BD111" s="32"/>
      <c r="BE111" s="32"/>
      <c r="BF111" s="32"/>
      <c r="BG111" s="32"/>
      <c r="BH111" s="384"/>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84"/>
      <c r="CE111" s="32"/>
      <c r="CF111" s="32"/>
      <c r="CG111" s="32"/>
      <c r="CH111" s="32"/>
      <c r="CI111" s="32"/>
      <c r="CJ111" s="32"/>
      <c r="CK111" s="32"/>
      <c r="CL111" s="32"/>
      <c r="CM111" s="32"/>
      <c r="CN111" s="32"/>
      <c r="CO111" s="32"/>
      <c r="CP111" s="32"/>
      <c r="CQ111" s="32"/>
      <c r="CR111" s="32"/>
      <c r="CS111" s="32"/>
      <c r="CT111" s="32"/>
      <c r="CU111" s="32"/>
      <c r="CV111" s="32"/>
      <c r="CW111" s="384"/>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row>
    <row r="112" spans="1:131">
      <c r="A112" s="11"/>
      <c r="B112" s="11" t="s">
        <v>645</v>
      </c>
      <c r="C112" s="394">
        <v>0</v>
      </c>
      <c r="D112" s="394">
        <v>0</v>
      </c>
      <c r="E112" s="394">
        <v>0</v>
      </c>
      <c r="F112" s="394">
        <v>0</v>
      </c>
      <c r="G112" s="394">
        <v>0</v>
      </c>
      <c r="H112" s="394">
        <v>0</v>
      </c>
      <c r="I112" s="394">
        <v>0</v>
      </c>
      <c r="J112" s="394">
        <v>0</v>
      </c>
      <c r="K112" s="394">
        <v>0</v>
      </c>
      <c r="L112" s="395">
        <v>0</v>
      </c>
      <c r="M112" s="394">
        <v>0</v>
      </c>
      <c r="N112" s="394">
        <v>0</v>
      </c>
      <c r="O112" s="394">
        <v>0</v>
      </c>
      <c r="P112" s="394">
        <v>0</v>
      </c>
      <c r="Q112" s="394">
        <v>0</v>
      </c>
      <c r="R112" s="394">
        <v>0</v>
      </c>
      <c r="S112" s="394">
        <v>0</v>
      </c>
      <c r="T112" s="394">
        <v>0</v>
      </c>
      <c r="U112" s="394">
        <v>0</v>
      </c>
      <c r="V112" s="394">
        <v>0</v>
      </c>
      <c r="W112" s="394">
        <v>0</v>
      </c>
      <c r="X112" s="394">
        <v>0</v>
      </c>
      <c r="Y112" s="394">
        <v>0</v>
      </c>
      <c r="Z112" s="394"/>
      <c r="AA112" s="394">
        <v>0</v>
      </c>
      <c r="AB112" s="394">
        <v>0</v>
      </c>
      <c r="AC112" s="394">
        <v>0</v>
      </c>
      <c r="AD112" s="394">
        <v>0</v>
      </c>
      <c r="AE112" s="394">
        <v>0</v>
      </c>
      <c r="AF112" s="394">
        <v>0</v>
      </c>
      <c r="AG112" s="394">
        <v>0</v>
      </c>
      <c r="AH112" s="394">
        <v>0</v>
      </c>
      <c r="AI112" s="394">
        <v>0</v>
      </c>
      <c r="AJ112" s="394">
        <v>0</v>
      </c>
      <c r="AK112" s="394">
        <v>0</v>
      </c>
      <c r="AL112" s="394">
        <v>0</v>
      </c>
      <c r="AM112" s="32"/>
      <c r="AN112" s="32"/>
      <c r="AO112" s="32"/>
      <c r="AP112" s="32"/>
      <c r="AQ112" s="32"/>
      <c r="AR112" s="32"/>
      <c r="AS112" s="384"/>
      <c r="AT112" s="32"/>
      <c r="AU112" s="32"/>
      <c r="AV112" s="32"/>
      <c r="AW112" s="32"/>
      <c r="AX112" s="32"/>
      <c r="AY112" s="32"/>
      <c r="AZ112" s="384"/>
      <c r="BA112" s="32"/>
      <c r="BB112" s="32"/>
      <c r="BC112" s="32"/>
      <c r="BD112" s="32"/>
      <c r="BE112" s="32"/>
      <c r="BF112" s="32"/>
      <c r="BG112" s="32"/>
      <c r="BH112" s="384"/>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84"/>
      <c r="CE112" s="32"/>
      <c r="CF112" s="32"/>
      <c r="CG112" s="32"/>
      <c r="CH112" s="32"/>
      <c r="CI112" s="32"/>
      <c r="CJ112" s="32"/>
      <c r="CK112" s="32"/>
      <c r="CL112" s="32"/>
      <c r="CM112" s="32"/>
      <c r="CN112" s="32"/>
      <c r="CO112" s="32"/>
      <c r="CP112" s="32"/>
      <c r="CQ112" s="32"/>
      <c r="CR112" s="32"/>
      <c r="CS112" s="32"/>
      <c r="CT112" s="32"/>
      <c r="CU112" s="32"/>
      <c r="CV112" s="32"/>
      <c r="CW112" s="384"/>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row>
    <row r="113" spans="1:131">
      <c r="A113" s="11"/>
      <c r="B113" s="11" t="s">
        <v>646</v>
      </c>
      <c r="C113" s="394">
        <v>0</v>
      </c>
      <c r="D113" s="394">
        <v>0</v>
      </c>
      <c r="E113" s="394">
        <v>0</v>
      </c>
      <c r="F113" s="394">
        <v>0</v>
      </c>
      <c r="G113" s="394">
        <v>0</v>
      </c>
      <c r="H113" s="394">
        <v>0</v>
      </c>
      <c r="I113" s="394">
        <v>0</v>
      </c>
      <c r="J113" s="394">
        <v>0</v>
      </c>
      <c r="K113" s="394">
        <v>0</v>
      </c>
      <c r="L113" s="395">
        <v>0</v>
      </c>
      <c r="M113" s="394">
        <v>0</v>
      </c>
      <c r="N113" s="394">
        <v>0</v>
      </c>
      <c r="O113" s="394">
        <v>0</v>
      </c>
      <c r="P113" s="394">
        <v>0</v>
      </c>
      <c r="Q113" s="394">
        <v>0</v>
      </c>
      <c r="R113" s="394">
        <v>0</v>
      </c>
      <c r="S113" s="394">
        <v>0</v>
      </c>
      <c r="T113" s="394">
        <v>0</v>
      </c>
      <c r="U113" s="394">
        <v>0</v>
      </c>
      <c r="V113" s="394">
        <v>0</v>
      </c>
      <c r="W113" s="394">
        <v>0</v>
      </c>
      <c r="X113" s="394">
        <v>0</v>
      </c>
      <c r="Y113" s="394">
        <v>0</v>
      </c>
      <c r="Z113" s="394"/>
      <c r="AA113" s="394">
        <v>0</v>
      </c>
      <c r="AB113" s="394">
        <v>0</v>
      </c>
      <c r="AC113" s="394">
        <v>0</v>
      </c>
      <c r="AD113" s="394">
        <v>0</v>
      </c>
      <c r="AE113" s="394">
        <v>0</v>
      </c>
      <c r="AF113" s="394">
        <v>0</v>
      </c>
      <c r="AG113" s="394">
        <v>0</v>
      </c>
      <c r="AH113" s="394">
        <v>0</v>
      </c>
      <c r="AI113" s="394">
        <v>0</v>
      </c>
      <c r="AJ113" s="394">
        <v>0</v>
      </c>
      <c r="AK113" s="394">
        <v>0</v>
      </c>
      <c r="AL113" s="394">
        <v>0</v>
      </c>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row>
    <row r="114" spans="1:131">
      <c r="A114" s="11"/>
      <c r="B114" s="11" t="s">
        <v>647</v>
      </c>
      <c r="C114" s="394">
        <v>0</v>
      </c>
      <c r="D114" s="394">
        <v>0</v>
      </c>
      <c r="E114" s="394">
        <v>0</v>
      </c>
      <c r="F114" s="394">
        <v>0</v>
      </c>
      <c r="G114" s="394">
        <v>0</v>
      </c>
      <c r="H114" s="394">
        <v>0</v>
      </c>
      <c r="I114" s="394">
        <v>0</v>
      </c>
      <c r="J114" s="394">
        <v>0</v>
      </c>
      <c r="K114" s="394">
        <v>0</v>
      </c>
      <c r="L114" s="395">
        <v>0</v>
      </c>
      <c r="M114" s="394">
        <v>0</v>
      </c>
      <c r="N114" s="394">
        <v>0</v>
      </c>
      <c r="O114" s="394">
        <v>0</v>
      </c>
      <c r="P114" s="394">
        <v>0</v>
      </c>
      <c r="Q114" s="394">
        <v>0</v>
      </c>
      <c r="R114" s="394">
        <v>0</v>
      </c>
      <c r="S114" s="394">
        <v>0</v>
      </c>
      <c r="T114" s="394">
        <v>0</v>
      </c>
      <c r="U114" s="394">
        <v>0</v>
      </c>
      <c r="V114" s="394">
        <v>0</v>
      </c>
      <c r="W114" s="394">
        <v>0</v>
      </c>
      <c r="X114" s="394">
        <v>0</v>
      </c>
      <c r="Y114" s="394">
        <v>0</v>
      </c>
      <c r="Z114" s="394"/>
      <c r="AA114" s="394">
        <v>0</v>
      </c>
      <c r="AB114" s="394">
        <v>0</v>
      </c>
      <c r="AC114" s="394">
        <v>0</v>
      </c>
      <c r="AD114" s="394">
        <v>0</v>
      </c>
      <c r="AE114" s="394">
        <v>0</v>
      </c>
      <c r="AF114" s="394">
        <v>0</v>
      </c>
      <c r="AG114" s="394">
        <v>0</v>
      </c>
      <c r="AH114" s="394">
        <v>0</v>
      </c>
      <c r="AI114" s="394">
        <v>0</v>
      </c>
      <c r="AJ114" s="394">
        <v>0</v>
      </c>
      <c r="AK114" s="394">
        <v>0</v>
      </c>
      <c r="AL114" s="394">
        <v>0</v>
      </c>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row>
    <row r="115" spans="1:131">
      <c r="A115" s="11"/>
      <c r="B115" s="11" t="s">
        <v>648</v>
      </c>
      <c r="C115" s="394">
        <v>0</v>
      </c>
      <c r="D115" s="394">
        <v>0</v>
      </c>
      <c r="E115" s="394">
        <v>0</v>
      </c>
      <c r="F115" s="394">
        <v>0</v>
      </c>
      <c r="G115" s="394">
        <v>0</v>
      </c>
      <c r="H115" s="394">
        <v>0</v>
      </c>
      <c r="I115" s="394">
        <v>0</v>
      </c>
      <c r="J115" s="394">
        <v>0</v>
      </c>
      <c r="K115" s="394">
        <v>0</v>
      </c>
      <c r="L115" s="395">
        <v>0</v>
      </c>
      <c r="M115" s="394">
        <v>0</v>
      </c>
      <c r="N115" s="394">
        <v>0</v>
      </c>
      <c r="O115" s="394">
        <v>0</v>
      </c>
      <c r="P115" s="394">
        <v>0</v>
      </c>
      <c r="Q115" s="394">
        <v>0</v>
      </c>
      <c r="R115" s="394">
        <v>0</v>
      </c>
      <c r="S115" s="394">
        <v>0</v>
      </c>
      <c r="T115" s="394">
        <v>0</v>
      </c>
      <c r="U115" s="394">
        <v>0</v>
      </c>
      <c r="V115" s="394">
        <v>0</v>
      </c>
      <c r="W115" s="394">
        <v>0</v>
      </c>
      <c r="X115" s="394">
        <v>0</v>
      </c>
      <c r="Y115" s="394">
        <v>0</v>
      </c>
      <c r="Z115" s="394"/>
      <c r="AA115" s="394">
        <v>0</v>
      </c>
      <c r="AB115" s="394">
        <v>0</v>
      </c>
      <c r="AC115" s="394">
        <v>0</v>
      </c>
      <c r="AD115" s="394">
        <v>0</v>
      </c>
      <c r="AE115" s="394">
        <v>0</v>
      </c>
      <c r="AF115" s="394">
        <v>0</v>
      </c>
      <c r="AG115" s="394">
        <v>0</v>
      </c>
      <c r="AH115" s="394">
        <v>0</v>
      </c>
      <c r="AI115" s="394">
        <v>0</v>
      </c>
      <c r="AJ115" s="394">
        <v>0</v>
      </c>
      <c r="AK115" s="394">
        <v>0</v>
      </c>
      <c r="AL115" s="394">
        <v>0</v>
      </c>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row>
    <row r="116" spans="1:131">
      <c r="A116" s="11"/>
      <c r="B116" s="11" t="s">
        <v>649</v>
      </c>
      <c r="C116" s="394">
        <v>0</v>
      </c>
      <c r="D116" s="394">
        <v>0</v>
      </c>
      <c r="E116" s="394">
        <v>0</v>
      </c>
      <c r="F116" s="394">
        <v>0</v>
      </c>
      <c r="G116" s="394">
        <v>0</v>
      </c>
      <c r="H116" s="394">
        <v>0</v>
      </c>
      <c r="I116" s="394">
        <v>0</v>
      </c>
      <c r="J116" s="394">
        <v>0</v>
      </c>
      <c r="K116" s="394">
        <v>0</v>
      </c>
      <c r="L116" s="395">
        <v>0</v>
      </c>
      <c r="M116" s="394">
        <v>0</v>
      </c>
      <c r="N116" s="394">
        <v>0</v>
      </c>
      <c r="O116" s="394">
        <v>0</v>
      </c>
      <c r="P116" s="394">
        <v>0</v>
      </c>
      <c r="Q116" s="394">
        <v>0</v>
      </c>
      <c r="R116" s="394">
        <v>0</v>
      </c>
      <c r="S116" s="394">
        <v>0</v>
      </c>
      <c r="T116" s="394">
        <v>0</v>
      </c>
      <c r="U116" s="394">
        <v>0</v>
      </c>
      <c r="V116" s="394">
        <v>0</v>
      </c>
      <c r="W116" s="394">
        <v>0</v>
      </c>
      <c r="X116" s="394">
        <v>0</v>
      </c>
      <c r="Y116" s="394">
        <v>0</v>
      </c>
      <c r="Z116" s="394"/>
      <c r="AA116" s="394">
        <v>0</v>
      </c>
      <c r="AB116" s="394">
        <v>0</v>
      </c>
      <c r="AC116" s="394">
        <v>0</v>
      </c>
      <c r="AD116" s="394">
        <v>0</v>
      </c>
      <c r="AE116" s="394">
        <v>0</v>
      </c>
      <c r="AF116" s="394">
        <v>0</v>
      </c>
      <c r="AG116" s="394">
        <v>0</v>
      </c>
      <c r="AH116" s="394">
        <v>0</v>
      </c>
      <c r="AI116" s="394">
        <v>0</v>
      </c>
      <c r="AJ116" s="394">
        <v>0</v>
      </c>
      <c r="AK116" s="394">
        <v>0</v>
      </c>
      <c r="AL116" s="394">
        <v>0</v>
      </c>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row>
    <row r="117" spans="1:131">
      <c r="A117" s="11"/>
      <c r="B117" s="11" t="s">
        <v>650</v>
      </c>
      <c r="C117" s="394">
        <v>0</v>
      </c>
      <c r="D117" s="394">
        <v>0</v>
      </c>
      <c r="E117" s="394">
        <v>0</v>
      </c>
      <c r="F117" s="394">
        <v>0</v>
      </c>
      <c r="G117" s="394">
        <v>0</v>
      </c>
      <c r="H117" s="394">
        <v>0</v>
      </c>
      <c r="I117" s="394">
        <v>0</v>
      </c>
      <c r="J117" s="394">
        <v>0</v>
      </c>
      <c r="K117" s="394">
        <v>0</v>
      </c>
      <c r="L117" s="395">
        <v>0</v>
      </c>
      <c r="M117" s="394">
        <v>0</v>
      </c>
      <c r="N117" s="394">
        <v>0</v>
      </c>
      <c r="O117" s="394">
        <v>0</v>
      </c>
      <c r="P117" s="394">
        <v>0</v>
      </c>
      <c r="Q117" s="394">
        <v>0</v>
      </c>
      <c r="R117" s="394">
        <v>0</v>
      </c>
      <c r="S117" s="394">
        <v>0</v>
      </c>
      <c r="T117" s="394">
        <v>0</v>
      </c>
      <c r="U117" s="394">
        <v>0</v>
      </c>
      <c r="V117" s="394">
        <v>0</v>
      </c>
      <c r="W117" s="394">
        <v>0</v>
      </c>
      <c r="X117" s="394">
        <v>0</v>
      </c>
      <c r="Y117" s="394">
        <v>0</v>
      </c>
      <c r="Z117" s="394"/>
      <c r="AA117" s="394">
        <v>0</v>
      </c>
      <c r="AB117" s="394">
        <v>0</v>
      </c>
      <c r="AC117" s="394">
        <v>0</v>
      </c>
      <c r="AD117" s="394">
        <v>0</v>
      </c>
      <c r="AE117" s="394">
        <v>0</v>
      </c>
      <c r="AF117" s="394">
        <v>0</v>
      </c>
      <c r="AG117" s="394">
        <v>0</v>
      </c>
      <c r="AH117" s="394">
        <v>0</v>
      </c>
      <c r="AI117" s="394">
        <v>0</v>
      </c>
      <c r="AJ117" s="394">
        <v>0</v>
      </c>
      <c r="AK117" s="394">
        <v>0</v>
      </c>
      <c r="AL117" s="394">
        <v>0</v>
      </c>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row>
    <row r="118" spans="1:131">
      <c r="A118" s="11"/>
      <c r="B118" s="11" t="s">
        <v>651</v>
      </c>
      <c r="C118" s="394">
        <v>0</v>
      </c>
      <c r="D118" s="394">
        <v>0</v>
      </c>
      <c r="E118" s="394">
        <v>0</v>
      </c>
      <c r="F118" s="394">
        <v>0</v>
      </c>
      <c r="G118" s="394">
        <v>0</v>
      </c>
      <c r="H118" s="394">
        <v>0</v>
      </c>
      <c r="I118" s="394">
        <v>0</v>
      </c>
      <c r="J118" s="394">
        <v>0</v>
      </c>
      <c r="K118" s="394">
        <v>0</v>
      </c>
      <c r="L118" s="395">
        <v>0</v>
      </c>
      <c r="M118" s="394">
        <v>0</v>
      </c>
      <c r="N118" s="394">
        <v>0</v>
      </c>
      <c r="O118" s="394">
        <v>0</v>
      </c>
      <c r="P118" s="394">
        <v>0</v>
      </c>
      <c r="Q118" s="394">
        <v>0</v>
      </c>
      <c r="R118" s="394">
        <v>0</v>
      </c>
      <c r="S118" s="394">
        <v>0</v>
      </c>
      <c r="T118" s="394">
        <v>0</v>
      </c>
      <c r="U118" s="394">
        <v>0</v>
      </c>
      <c r="V118" s="394">
        <v>0</v>
      </c>
      <c r="W118" s="394">
        <v>0</v>
      </c>
      <c r="X118" s="394">
        <v>0</v>
      </c>
      <c r="Y118" s="394">
        <v>0</v>
      </c>
      <c r="Z118" s="394"/>
      <c r="AA118" s="394">
        <v>0</v>
      </c>
      <c r="AB118" s="394">
        <v>0</v>
      </c>
      <c r="AC118" s="394">
        <v>0</v>
      </c>
      <c r="AD118" s="394">
        <v>0</v>
      </c>
      <c r="AE118" s="394">
        <v>0</v>
      </c>
      <c r="AF118" s="394">
        <v>0</v>
      </c>
      <c r="AG118" s="394">
        <v>0</v>
      </c>
      <c r="AH118" s="394">
        <v>0</v>
      </c>
      <c r="AI118" s="394">
        <v>0</v>
      </c>
      <c r="AJ118" s="394">
        <v>0</v>
      </c>
      <c r="AK118" s="394">
        <v>0</v>
      </c>
      <c r="AL118" s="394">
        <v>0</v>
      </c>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row>
    <row r="119" spans="1:131">
      <c r="A119" s="11"/>
      <c r="B119" s="11" t="s">
        <v>652</v>
      </c>
      <c r="C119" s="394">
        <v>0</v>
      </c>
      <c r="D119" s="394">
        <v>0</v>
      </c>
      <c r="E119" s="394">
        <v>0</v>
      </c>
      <c r="F119" s="394">
        <v>0</v>
      </c>
      <c r="G119" s="394">
        <v>0</v>
      </c>
      <c r="H119" s="394">
        <v>0</v>
      </c>
      <c r="I119" s="394">
        <v>0</v>
      </c>
      <c r="J119" s="394">
        <v>0</v>
      </c>
      <c r="K119" s="394">
        <v>0</v>
      </c>
      <c r="L119" s="395">
        <v>0</v>
      </c>
      <c r="M119" s="394">
        <v>0</v>
      </c>
      <c r="N119" s="394">
        <v>0</v>
      </c>
      <c r="O119" s="394">
        <v>0</v>
      </c>
      <c r="P119" s="394">
        <v>0</v>
      </c>
      <c r="Q119" s="394">
        <v>0</v>
      </c>
      <c r="R119" s="394">
        <v>0</v>
      </c>
      <c r="S119" s="394">
        <v>0</v>
      </c>
      <c r="T119" s="394">
        <v>0</v>
      </c>
      <c r="U119" s="394">
        <v>0</v>
      </c>
      <c r="V119" s="394">
        <v>0</v>
      </c>
      <c r="W119" s="394">
        <v>0</v>
      </c>
      <c r="X119" s="394">
        <v>0</v>
      </c>
      <c r="Y119" s="394">
        <v>0</v>
      </c>
      <c r="Z119" s="394"/>
      <c r="AA119" s="394">
        <v>0</v>
      </c>
      <c r="AB119" s="394">
        <v>0</v>
      </c>
      <c r="AC119" s="394">
        <v>0</v>
      </c>
      <c r="AD119" s="394">
        <v>0</v>
      </c>
      <c r="AE119" s="394">
        <v>0</v>
      </c>
      <c r="AF119" s="394">
        <v>0</v>
      </c>
      <c r="AG119" s="394">
        <v>0</v>
      </c>
      <c r="AH119" s="394">
        <v>0</v>
      </c>
      <c r="AI119" s="394">
        <v>0</v>
      </c>
      <c r="AJ119" s="394">
        <v>0</v>
      </c>
      <c r="AK119" s="394">
        <v>0</v>
      </c>
      <c r="AL119" s="394">
        <v>0</v>
      </c>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row>
    <row r="120" spans="1:131">
      <c r="A120" s="11"/>
      <c r="B120" s="11" t="s">
        <v>653</v>
      </c>
      <c r="C120" s="394">
        <v>0</v>
      </c>
      <c r="D120" s="394">
        <v>0</v>
      </c>
      <c r="E120" s="394">
        <v>0</v>
      </c>
      <c r="F120" s="394">
        <v>0</v>
      </c>
      <c r="G120" s="394">
        <v>0</v>
      </c>
      <c r="H120" s="394">
        <v>0</v>
      </c>
      <c r="I120" s="394">
        <v>0</v>
      </c>
      <c r="J120" s="394">
        <v>0</v>
      </c>
      <c r="K120" s="394">
        <v>0</v>
      </c>
      <c r="L120" s="395">
        <v>0</v>
      </c>
      <c r="M120" s="394">
        <v>0</v>
      </c>
      <c r="N120" s="394">
        <v>0</v>
      </c>
      <c r="O120" s="394">
        <v>0</v>
      </c>
      <c r="P120" s="394">
        <v>0</v>
      </c>
      <c r="Q120" s="394">
        <v>0</v>
      </c>
      <c r="R120" s="394">
        <v>0</v>
      </c>
      <c r="S120" s="394">
        <v>0</v>
      </c>
      <c r="T120" s="394">
        <v>0</v>
      </c>
      <c r="U120" s="394">
        <v>0</v>
      </c>
      <c r="V120" s="394">
        <v>0</v>
      </c>
      <c r="W120" s="394">
        <v>0</v>
      </c>
      <c r="X120" s="394">
        <v>0</v>
      </c>
      <c r="Y120" s="394">
        <v>0</v>
      </c>
      <c r="Z120" s="394"/>
      <c r="AA120" s="394">
        <v>0</v>
      </c>
      <c r="AB120" s="394">
        <v>0</v>
      </c>
      <c r="AC120" s="394">
        <v>0</v>
      </c>
      <c r="AD120" s="394">
        <v>0</v>
      </c>
      <c r="AE120" s="394">
        <v>0</v>
      </c>
      <c r="AF120" s="394">
        <v>0</v>
      </c>
      <c r="AG120" s="394">
        <v>0</v>
      </c>
      <c r="AH120" s="394">
        <v>0</v>
      </c>
      <c r="AI120" s="394">
        <v>0</v>
      </c>
      <c r="AJ120" s="394">
        <v>0</v>
      </c>
      <c r="AK120" s="394">
        <v>0</v>
      </c>
      <c r="AL120" s="394">
        <v>0</v>
      </c>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row>
    <row r="121" spans="1:131">
      <c r="A121" s="11"/>
      <c r="B121" s="11" t="s">
        <v>654</v>
      </c>
      <c r="C121" s="394">
        <v>0</v>
      </c>
      <c r="D121" s="394">
        <v>0</v>
      </c>
      <c r="E121" s="394">
        <v>0</v>
      </c>
      <c r="F121" s="394">
        <v>0</v>
      </c>
      <c r="G121" s="394">
        <v>0</v>
      </c>
      <c r="H121" s="394">
        <v>0</v>
      </c>
      <c r="I121" s="394">
        <v>0</v>
      </c>
      <c r="J121" s="394">
        <v>0</v>
      </c>
      <c r="K121" s="394">
        <v>0</v>
      </c>
      <c r="L121" s="395">
        <v>0</v>
      </c>
      <c r="M121" s="394">
        <v>0</v>
      </c>
      <c r="N121" s="394">
        <v>0</v>
      </c>
      <c r="O121" s="394">
        <v>0</v>
      </c>
      <c r="P121" s="394">
        <v>0</v>
      </c>
      <c r="Q121" s="394">
        <v>0</v>
      </c>
      <c r="R121" s="394">
        <v>0</v>
      </c>
      <c r="S121" s="394">
        <v>0</v>
      </c>
      <c r="T121" s="394">
        <v>0</v>
      </c>
      <c r="U121" s="394">
        <v>0</v>
      </c>
      <c r="V121" s="394">
        <v>0</v>
      </c>
      <c r="W121" s="394">
        <v>0</v>
      </c>
      <c r="X121" s="394">
        <v>0</v>
      </c>
      <c r="Y121" s="394">
        <v>0</v>
      </c>
      <c r="Z121" s="394"/>
      <c r="AA121" s="394">
        <v>0</v>
      </c>
      <c r="AB121" s="394">
        <v>0</v>
      </c>
      <c r="AC121" s="394">
        <v>0</v>
      </c>
      <c r="AD121" s="394">
        <v>0</v>
      </c>
      <c r="AE121" s="394">
        <v>0</v>
      </c>
      <c r="AF121" s="394">
        <v>0</v>
      </c>
      <c r="AG121" s="394">
        <v>0</v>
      </c>
      <c r="AH121" s="394">
        <v>0</v>
      </c>
      <c r="AI121" s="394">
        <v>0</v>
      </c>
      <c r="AJ121" s="394">
        <v>0</v>
      </c>
      <c r="AK121" s="394">
        <v>0</v>
      </c>
      <c r="AL121" s="394">
        <v>0</v>
      </c>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row>
    <row r="122" spans="1:131">
      <c r="A122" s="11"/>
      <c r="B122" s="11" t="s">
        <v>655</v>
      </c>
      <c r="C122" s="394">
        <v>0</v>
      </c>
      <c r="D122" s="394">
        <v>0</v>
      </c>
      <c r="E122" s="394">
        <v>0</v>
      </c>
      <c r="F122" s="394">
        <v>0</v>
      </c>
      <c r="G122" s="394">
        <v>0</v>
      </c>
      <c r="H122" s="394">
        <v>0</v>
      </c>
      <c r="I122" s="394">
        <v>0</v>
      </c>
      <c r="J122" s="394">
        <v>0</v>
      </c>
      <c r="K122" s="394">
        <v>0</v>
      </c>
      <c r="L122" s="395">
        <v>0</v>
      </c>
      <c r="M122" s="394">
        <v>0</v>
      </c>
      <c r="N122" s="394">
        <v>0</v>
      </c>
      <c r="O122" s="394">
        <v>0</v>
      </c>
      <c r="P122" s="394">
        <v>0</v>
      </c>
      <c r="Q122" s="394">
        <v>0</v>
      </c>
      <c r="R122" s="394">
        <v>0</v>
      </c>
      <c r="S122" s="394">
        <v>0</v>
      </c>
      <c r="T122" s="394">
        <v>0</v>
      </c>
      <c r="U122" s="394">
        <v>0</v>
      </c>
      <c r="V122" s="394">
        <v>0</v>
      </c>
      <c r="W122" s="394">
        <v>0</v>
      </c>
      <c r="X122" s="394">
        <v>0</v>
      </c>
      <c r="Y122" s="394">
        <v>0</v>
      </c>
      <c r="Z122" s="394"/>
      <c r="AA122" s="394">
        <v>0</v>
      </c>
      <c r="AB122" s="394">
        <v>0</v>
      </c>
      <c r="AC122" s="394">
        <v>0</v>
      </c>
      <c r="AD122" s="394">
        <v>0</v>
      </c>
      <c r="AE122" s="394">
        <v>0</v>
      </c>
      <c r="AF122" s="394">
        <v>0</v>
      </c>
      <c r="AG122" s="394">
        <v>0</v>
      </c>
      <c r="AH122" s="394">
        <v>0</v>
      </c>
      <c r="AI122" s="394">
        <v>0</v>
      </c>
      <c r="AJ122" s="394">
        <v>0</v>
      </c>
      <c r="AK122" s="394">
        <v>0</v>
      </c>
      <c r="AL122" s="394">
        <v>0</v>
      </c>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row>
    <row r="123" spans="1:131">
      <c r="A123" s="11"/>
      <c r="B123" s="11" t="s">
        <v>656</v>
      </c>
      <c r="C123" s="394">
        <v>0</v>
      </c>
      <c r="D123" s="394">
        <v>0</v>
      </c>
      <c r="E123" s="394">
        <v>0</v>
      </c>
      <c r="F123" s="394">
        <v>0</v>
      </c>
      <c r="G123" s="394">
        <v>0</v>
      </c>
      <c r="H123" s="394">
        <v>0</v>
      </c>
      <c r="I123" s="394">
        <v>0</v>
      </c>
      <c r="J123" s="394">
        <v>0</v>
      </c>
      <c r="K123" s="394">
        <v>0</v>
      </c>
      <c r="L123" s="395">
        <v>0</v>
      </c>
      <c r="M123" s="394">
        <v>0</v>
      </c>
      <c r="N123" s="394">
        <v>0</v>
      </c>
      <c r="O123" s="394">
        <v>0</v>
      </c>
      <c r="P123" s="394">
        <v>0</v>
      </c>
      <c r="Q123" s="394">
        <v>0</v>
      </c>
      <c r="R123" s="394">
        <v>0</v>
      </c>
      <c r="S123" s="394">
        <v>0</v>
      </c>
      <c r="T123" s="394">
        <v>0</v>
      </c>
      <c r="U123" s="394">
        <v>0</v>
      </c>
      <c r="V123" s="394">
        <v>0</v>
      </c>
      <c r="W123" s="394">
        <v>0</v>
      </c>
      <c r="X123" s="394">
        <v>0</v>
      </c>
      <c r="Y123" s="394">
        <v>0</v>
      </c>
      <c r="Z123" s="394"/>
      <c r="AA123" s="394">
        <v>0</v>
      </c>
      <c r="AB123" s="394">
        <v>0</v>
      </c>
      <c r="AC123" s="394">
        <v>0</v>
      </c>
      <c r="AD123" s="394">
        <v>0</v>
      </c>
      <c r="AE123" s="394">
        <v>0</v>
      </c>
      <c r="AF123" s="394">
        <v>0</v>
      </c>
      <c r="AG123" s="394">
        <v>0</v>
      </c>
      <c r="AH123" s="394">
        <v>0</v>
      </c>
      <c r="AI123" s="394">
        <v>0</v>
      </c>
      <c r="AJ123" s="394">
        <v>0</v>
      </c>
      <c r="AK123" s="394">
        <v>0</v>
      </c>
      <c r="AL123" s="394">
        <v>0</v>
      </c>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row>
    <row r="124" spans="1:131">
      <c r="A124" s="11"/>
      <c r="B124" s="11" t="s">
        <v>657</v>
      </c>
      <c r="C124" s="394">
        <v>0</v>
      </c>
      <c r="D124" s="394">
        <v>0</v>
      </c>
      <c r="E124" s="394">
        <v>0</v>
      </c>
      <c r="F124" s="394">
        <v>0</v>
      </c>
      <c r="G124" s="394">
        <v>0</v>
      </c>
      <c r="H124" s="394">
        <v>0</v>
      </c>
      <c r="I124" s="394">
        <v>0</v>
      </c>
      <c r="J124" s="394">
        <v>0</v>
      </c>
      <c r="K124" s="394">
        <v>0</v>
      </c>
      <c r="L124" s="395">
        <v>0</v>
      </c>
      <c r="M124" s="394">
        <v>0</v>
      </c>
      <c r="N124" s="394">
        <v>0</v>
      </c>
      <c r="O124" s="394">
        <v>0</v>
      </c>
      <c r="P124" s="394">
        <v>0</v>
      </c>
      <c r="Q124" s="394">
        <v>0</v>
      </c>
      <c r="R124" s="394">
        <v>0</v>
      </c>
      <c r="S124" s="394">
        <v>0</v>
      </c>
      <c r="T124" s="394">
        <v>0</v>
      </c>
      <c r="U124" s="394">
        <v>0</v>
      </c>
      <c r="V124" s="394">
        <v>0</v>
      </c>
      <c r="W124" s="394">
        <v>0</v>
      </c>
      <c r="X124" s="394">
        <v>0</v>
      </c>
      <c r="Y124" s="394">
        <v>0</v>
      </c>
      <c r="Z124" s="394"/>
      <c r="AA124" s="394">
        <v>0</v>
      </c>
      <c r="AB124" s="394">
        <v>0</v>
      </c>
      <c r="AC124" s="394">
        <v>0</v>
      </c>
      <c r="AD124" s="394">
        <v>0</v>
      </c>
      <c r="AE124" s="394">
        <v>0</v>
      </c>
      <c r="AF124" s="394">
        <v>0</v>
      </c>
      <c r="AG124" s="394">
        <v>0</v>
      </c>
      <c r="AH124" s="394">
        <v>0</v>
      </c>
      <c r="AI124" s="394">
        <v>0</v>
      </c>
      <c r="AJ124" s="394">
        <v>0</v>
      </c>
      <c r="AK124" s="394">
        <v>0</v>
      </c>
      <c r="AL124" s="394">
        <v>0</v>
      </c>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row>
    <row r="125" spans="1:131">
      <c r="A125" s="11"/>
      <c r="B125" s="11" t="s">
        <v>658</v>
      </c>
      <c r="C125" s="394">
        <v>0</v>
      </c>
      <c r="D125" s="394">
        <v>0</v>
      </c>
      <c r="E125" s="394">
        <v>0</v>
      </c>
      <c r="F125" s="394">
        <v>0</v>
      </c>
      <c r="G125" s="394">
        <v>0</v>
      </c>
      <c r="H125" s="394">
        <v>0</v>
      </c>
      <c r="I125" s="394">
        <v>0</v>
      </c>
      <c r="J125" s="394">
        <v>0</v>
      </c>
      <c r="K125" s="394">
        <v>0</v>
      </c>
      <c r="L125" s="395">
        <v>0</v>
      </c>
      <c r="M125" s="394">
        <v>0</v>
      </c>
      <c r="N125" s="394">
        <v>0</v>
      </c>
      <c r="O125" s="394">
        <v>0</v>
      </c>
      <c r="P125" s="394">
        <v>0</v>
      </c>
      <c r="Q125" s="394">
        <v>0</v>
      </c>
      <c r="R125" s="394">
        <v>0</v>
      </c>
      <c r="S125" s="394">
        <v>0</v>
      </c>
      <c r="T125" s="394">
        <v>0</v>
      </c>
      <c r="U125" s="394">
        <v>0</v>
      </c>
      <c r="V125" s="394">
        <v>0</v>
      </c>
      <c r="W125" s="394">
        <v>0</v>
      </c>
      <c r="X125" s="394">
        <v>0</v>
      </c>
      <c r="Y125" s="394">
        <v>0</v>
      </c>
      <c r="Z125" s="394"/>
      <c r="AA125" s="394">
        <v>0</v>
      </c>
      <c r="AB125" s="394">
        <v>0</v>
      </c>
      <c r="AC125" s="394">
        <v>0</v>
      </c>
      <c r="AD125" s="394">
        <v>0</v>
      </c>
      <c r="AE125" s="394">
        <v>0</v>
      </c>
      <c r="AF125" s="394">
        <v>0</v>
      </c>
      <c r="AG125" s="394">
        <v>0</v>
      </c>
      <c r="AH125" s="394">
        <v>0</v>
      </c>
      <c r="AI125" s="394">
        <v>0</v>
      </c>
      <c r="AJ125" s="394">
        <v>0</v>
      </c>
      <c r="AK125" s="394">
        <v>0</v>
      </c>
      <c r="AL125" s="394">
        <v>0</v>
      </c>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row>
    <row r="126" spans="1:131">
      <c r="A126" s="11"/>
      <c r="B126" s="11" t="s">
        <v>659</v>
      </c>
      <c r="C126" s="394">
        <v>0</v>
      </c>
      <c r="D126" s="394">
        <v>0</v>
      </c>
      <c r="E126" s="394">
        <v>0</v>
      </c>
      <c r="F126" s="394">
        <v>0</v>
      </c>
      <c r="G126" s="394">
        <v>0</v>
      </c>
      <c r="H126" s="394">
        <v>0</v>
      </c>
      <c r="I126" s="394">
        <v>0</v>
      </c>
      <c r="J126" s="394">
        <v>0</v>
      </c>
      <c r="K126" s="394">
        <v>0</v>
      </c>
      <c r="L126" s="395">
        <v>0</v>
      </c>
      <c r="M126" s="394">
        <v>0</v>
      </c>
      <c r="N126" s="394">
        <v>0</v>
      </c>
      <c r="O126" s="394">
        <v>0</v>
      </c>
      <c r="P126" s="394">
        <v>0</v>
      </c>
      <c r="Q126" s="394">
        <v>0</v>
      </c>
      <c r="R126" s="394">
        <v>0</v>
      </c>
      <c r="S126" s="394">
        <v>0</v>
      </c>
      <c r="T126" s="394">
        <v>0</v>
      </c>
      <c r="U126" s="394">
        <v>0</v>
      </c>
      <c r="V126" s="394">
        <v>0</v>
      </c>
      <c r="W126" s="394">
        <v>0</v>
      </c>
      <c r="X126" s="394">
        <v>0</v>
      </c>
      <c r="Y126" s="394">
        <v>0</v>
      </c>
      <c r="Z126" s="394"/>
      <c r="AA126" s="394">
        <v>0</v>
      </c>
      <c r="AB126" s="394">
        <v>0</v>
      </c>
      <c r="AC126" s="394">
        <v>0</v>
      </c>
      <c r="AD126" s="394">
        <v>0</v>
      </c>
      <c r="AE126" s="394">
        <v>0</v>
      </c>
      <c r="AF126" s="394">
        <v>0</v>
      </c>
      <c r="AG126" s="394">
        <v>0</v>
      </c>
      <c r="AH126" s="394">
        <v>0</v>
      </c>
      <c r="AI126" s="394">
        <v>0</v>
      </c>
      <c r="AJ126" s="394">
        <v>0</v>
      </c>
      <c r="AK126" s="394">
        <v>0</v>
      </c>
      <c r="AL126" s="394">
        <v>0</v>
      </c>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row>
    <row r="127" spans="1:131">
      <c r="A127" s="11"/>
      <c r="B127" s="11" t="s">
        <v>660</v>
      </c>
      <c r="C127" s="394">
        <v>0</v>
      </c>
      <c r="D127" s="394">
        <v>0</v>
      </c>
      <c r="E127" s="394">
        <v>0</v>
      </c>
      <c r="F127" s="394">
        <v>0</v>
      </c>
      <c r="G127" s="394">
        <v>0</v>
      </c>
      <c r="H127" s="394">
        <v>0</v>
      </c>
      <c r="I127" s="394">
        <v>0</v>
      </c>
      <c r="J127" s="394">
        <v>0</v>
      </c>
      <c r="K127" s="394">
        <v>0</v>
      </c>
      <c r="L127" s="395">
        <v>0</v>
      </c>
      <c r="M127" s="394">
        <v>0</v>
      </c>
      <c r="N127" s="394">
        <v>0</v>
      </c>
      <c r="O127" s="394">
        <v>0</v>
      </c>
      <c r="P127" s="394">
        <v>0</v>
      </c>
      <c r="Q127" s="394">
        <v>0</v>
      </c>
      <c r="R127" s="394">
        <v>0</v>
      </c>
      <c r="S127" s="394">
        <v>0</v>
      </c>
      <c r="T127" s="394">
        <v>0</v>
      </c>
      <c r="U127" s="394">
        <v>0</v>
      </c>
      <c r="V127" s="394">
        <v>0</v>
      </c>
      <c r="W127" s="394">
        <v>0</v>
      </c>
      <c r="X127" s="394">
        <v>0</v>
      </c>
      <c r="Y127" s="394">
        <v>0</v>
      </c>
      <c r="Z127" s="394"/>
      <c r="AA127" s="394">
        <v>0</v>
      </c>
      <c r="AB127" s="394">
        <v>0</v>
      </c>
      <c r="AC127" s="394">
        <v>0</v>
      </c>
      <c r="AD127" s="394">
        <v>0</v>
      </c>
      <c r="AE127" s="394">
        <v>0</v>
      </c>
      <c r="AF127" s="394">
        <v>0</v>
      </c>
      <c r="AG127" s="394">
        <v>0</v>
      </c>
      <c r="AH127" s="394">
        <v>0</v>
      </c>
      <c r="AI127" s="394">
        <v>0</v>
      </c>
      <c r="AJ127" s="394">
        <v>0</v>
      </c>
      <c r="AK127" s="394">
        <v>0</v>
      </c>
      <c r="AL127" s="394">
        <v>0</v>
      </c>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row>
    <row r="128" spans="1:131">
      <c r="A128" s="11"/>
      <c r="B128" s="11" t="s">
        <v>661</v>
      </c>
      <c r="C128" s="394">
        <v>0</v>
      </c>
      <c r="D128" s="394">
        <v>0</v>
      </c>
      <c r="E128" s="394">
        <v>0</v>
      </c>
      <c r="F128" s="394">
        <v>0</v>
      </c>
      <c r="G128" s="394">
        <v>0</v>
      </c>
      <c r="H128" s="394">
        <v>0</v>
      </c>
      <c r="I128" s="394">
        <v>0</v>
      </c>
      <c r="J128" s="394">
        <v>0</v>
      </c>
      <c r="K128" s="394">
        <v>0</v>
      </c>
      <c r="L128" s="395">
        <v>0</v>
      </c>
      <c r="M128" s="394">
        <v>0</v>
      </c>
      <c r="N128" s="394">
        <v>0</v>
      </c>
      <c r="O128" s="394">
        <v>0</v>
      </c>
      <c r="P128" s="394">
        <v>0</v>
      </c>
      <c r="Q128" s="394">
        <v>0</v>
      </c>
      <c r="R128" s="394">
        <v>0</v>
      </c>
      <c r="S128" s="394">
        <v>0</v>
      </c>
      <c r="T128" s="394">
        <v>0</v>
      </c>
      <c r="U128" s="394">
        <v>0</v>
      </c>
      <c r="V128" s="394">
        <v>0</v>
      </c>
      <c r="W128" s="394">
        <v>0</v>
      </c>
      <c r="X128" s="394">
        <v>0</v>
      </c>
      <c r="Y128" s="394">
        <v>0</v>
      </c>
      <c r="Z128" s="394"/>
      <c r="AA128" s="394">
        <v>0</v>
      </c>
      <c r="AB128" s="394">
        <v>0</v>
      </c>
      <c r="AC128" s="394">
        <v>0</v>
      </c>
      <c r="AD128" s="394">
        <v>0</v>
      </c>
      <c r="AE128" s="394">
        <v>0</v>
      </c>
      <c r="AF128" s="394">
        <v>0</v>
      </c>
      <c r="AG128" s="394">
        <v>0</v>
      </c>
      <c r="AH128" s="394">
        <v>0</v>
      </c>
      <c r="AI128" s="394">
        <v>0</v>
      </c>
      <c r="AJ128" s="394">
        <v>0</v>
      </c>
      <c r="AK128" s="394">
        <v>0</v>
      </c>
      <c r="AL128" s="394">
        <v>0</v>
      </c>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row>
    <row r="129" spans="1:131">
      <c r="A129" s="11"/>
      <c r="B129" s="11"/>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row>
    <row r="130" spans="1:131">
      <c r="A130" s="11"/>
      <c r="B130" s="11"/>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row>
    <row r="131" spans="1:131" ht="13.5" thickBot="1">
      <c r="A131" s="368" t="s">
        <v>662</v>
      </c>
      <c r="B131" s="370"/>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row>
    <row r="132" spans="1:131" ht="13.5" thickBot="1">
      <c r="A132" s="396"/>
      <c r="B132" s="397"/>
      <c r="C132" s="398"/>
      <c r="D132" s="398"/>
      <c r="E132" s="398"/>
      <c r="F132" s="398"/>
      <c r="G132" s="398"/>
      <c r="H132" s="398"/>
      <c r="I132" s="398"/>
      <c r="J132" s="398"/>
      <c r="K132" s="398"/>
      <c r="L132" s="398"/>
      <c r="M132" s="398"/>
      <c r="N132" s="398"/>
      <c r="O132" s="399" t="s">
        <v>961</v>
      </c>
      <c r="P132" s="400"/>
      <c r="Q132" s="400"/>
      <c r="R132" s="400"/>
      <c r="S132" s="400"/>
      <c r="T132" s="400"/>
      <c r="U132" s="400"/>
      <c r="V132" s="400"/>
      <c r="W132" s="400"/>
      <c r="X132" s="400"/>
      <c r="Y132" s="400"/>
      <c r="Z132" s="388"/>
      <c r="AA132" s="398"/>
      <c r="AB132" s="399" t="s">
        <v>962</v>
      </c>
      <c r="AC132" s="400"/>
      <c r="AD132" s="400"/>
      <c r="AE132" s="400"/>
      <c r="AF132" s="400"/>
      <c r="AG132" s="400"/>
      <c r="AH132" s="400"/>
      <c r="AI132" s="400"/>
      <c r="AJ132" s="400"/>
      <c r="AK132" s="400"/>
      <c r="AL132" s="400"/>
      <c r="AM132" s="388"/>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row>
    <row r="133" spans="1:131" ht="102">
      <c r="A133" s="379" t="s">
        <v>308</v>
      </c>
      <c r="B133" s="380" t="s">
        <v>309</v>
      </c>
      <c r="C133" s="381" t="s">
        <v>663</v>
      </c>
      <c r="D133" s="381" t="s">
        <v>617</v>
      </c>
      <c r="E133" s="381" t="s">
        <v>618</v>
      </c>
      <c r="F133" s="381" t="s">
        <v>619</v>
      </c>
      <c r="G133" s="381" t="s">
        <v>620</v>
      </c>
      <c r="H133" s="381" t="s">
        <v>621</v>
      </c>
      <c r="I133" s="381" t="s">
        <v>622</v>
      </c>
      <c r="J133" s="381" t="s">
        <v>623</v>
      </c>
      <c r="K133" s="381" t="s">
        <v>372</v>
      </c>
      <c r="L133" s="381" t="s">
        <v>371</v>
      </c>
      <c r="M133" s="381" t="s">
        <v>624</v>
      </c>
      <c r="N133" s="381" t="s">
        <v>963</v>
      </c>
      <c r="O133" s="381" t="s">
        <v>625</v>
      </c>
      <c r="P133" s="381" t="s">
        <v>626</v>
      </c>
      <c r="Q133" s="381" t="s">
        <v>627</v>
      </c>
      <c r="R133" s="381" t="s">
        <v>628</v>
      </c>
      <c r="S133" s="381" t="s">
        <v>629</v>
      </c>
      <c r="T133" s="381" t="s">
        <v>630</v>
      </c>
      <c r="U133" s="381" t="s">
        <v>631</v>
      </c>
      <c r="V133" s="381" t="s">
        <v>632</v>
      </c>
      <c r="W133" s="381" t="s">
        <v>633</v>
      </c>
      <c r="X133" s="381" t="s">
        <v>634</v>
      </c>
      <c r="Y133" s="381" t="s">
        <v>635</v>
      </c>
      <c r="Z133" s="381" t="s">
        <v>636</v>
      </c>
      <c r="AA133" s="381"/>
      <c r="AB133" s="381" t="s">
        <v>625</v>
      </c>
      <c r="AC133" s="381" t="s">
        <v>626</v>
      </c>
      <c r="AD133" s="381" t="s">
        <v>627</v>
      </c>
      <c r="AE133" s="381" t="s">
        <v>628</v>
      </c>
      <c r="AF133" s="381" t="s">
        <v>629</v>
      </c>
      <c r="AG133" s="381" t="s">
        <v>630</v>
      </c>
      <c r="AH133" s="381" t="s">
        <v>631</v>
      </c>
      <c r="AI133" s="381" t="s">
        <v>632</v>
      </c>
      <c r="AJ133" s="381" t="s">
        <v>633</v>
      </c>
      <c r="AK133" s="381" t="s">
        <v>634</v>
      </c>
      <c r="AL133" s="381" t="s">
        <v>635</v>
      </c>
      <c r="AM133" s="381" t="s">
        <v>636</v>
      </c>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row>
    <row r="134" spans="1:131">
      <c r="A134" s="11" t="s">
        <v>664</v>
      </c>
      <c r="B134" s="11"/>
      <c r="C134" s="166">
        <v>345.42828990947618</v>
      </c>
      <c r="D134" s="166">
        <v>-8.5918959509302795</v>
      </c>
      <c r="E134" s="166">
        <v>-1.7183791901860559</v>
      </c>
      <c r="F134" s="166">
        <v>-10.310275141116335</v>
      </c>
      <c r="G134" s="166">
        <v>-468.95768454782376</v>
      </c>
      <c r="H134" s="166">
        <v>249.12640769786555</v>
      </c>
      <c r="I134" s="166">
        <v>-261.46674396543511</v>
      </c>
      <c r="J134" s="166">
        <v>-18.369062264711971</v>
      </c>
      <c r="K134" s="166">
        <v>-117.67195201412203</v>
      </c>
      <c r="L134" s="383">
        <v>9999</v>
      </c>
      <c r="M134" s="166">
        <v>3.2815839422367321</v>
      </c>
      <c r="N134" s="166">
        <v>8.0741428992020942E-2</v>
      </c>
      <c r="O134" s="166">
        <v>14.354238834876915</v>
      </c>
      <c r="P134" s="166">
        <v>10.554999408362274</v>
      </c>
      <c r="Q134" s="166">
        <v>9.7715692128522278</v>
      </c>
      <c r="R134" s="166">
        <v>5.5879331732349788</v>
      </c>
      <c r="S134" s="166">
        <v>4.4884486279455649</v>
      </c>
      <c r="T134" s="166">
        <v>3.4834944677306874</v>
      </c>
      <c r="U134" s="166">
        <v>3.6485018388012316</v>
      </c>
      <c r="V134" s="166">
        <v>5.2980471214421785</v>
      </c>
      <c r="W134" s="166">
        <v>6.6817326782512199</v>
      </c>
      <c r="X134" s="166">
        <v>10.890107921335716</v>
      </c>
      <c r="Y134" s="166">
        <v>12.696281482442966</v>
      </c>
      <c r="Z134" s="166">
        <v>15.061606722201828</v>
      </c>
      <c r="AA134" s="166"/>
      <c r="AB134" s="166">
        <v>23.568835217118238</v>
      </c>
      <c r="AC134" s="166">
        <v>20.388813309884839</v>
      </c>
      <c r="AD134" s="166">
        <v>20.488701404707946</v>
      </c>
      <c r="AE134" s="166">
        <v>19.413583710035187</v>
      </c>
      <c r="AF134" s="166">
        <v>17.878061065201031</v>
      </c>
      <c r="AG134" s="166">
        <v>16.238885800282048</v>
      </c>
      <c r="AH134" s="166">
        <v>17.753253574658729</v>
      </c>
      <c r="AI134" s="166">
        <v>19.186846481024503</v>
      </c>
      <c r="AJ134" s="166">
        <v>20.597972638317124</v>
      </c>
      <c r="AK134" s="166">
        <v>21.320861890906876</v>
      </c>
      <c r="AL134" s="166">
        <v>22.477997305419027</v>
      </c>
      <c r="AM134" s="32">
        <v>23.5975160224428</v>
      </c>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row>
    <row r="135" spans="1:131">
      <c r="A135" s="11" t="s">
        <v>666</v>
      </c>
      <c r="B135" s="11"/>
      <c r="C135" s="166">
        <v>754.1040131826594</v>
      </c>
      <c r="D135" s="166">
        <v>2.0115772129567233</v>
      </c>
      <c r="E135" s="166">
        <v>0.40231544259134466</v>
      </c>
      <c r="F135" s="166">
        <v>2.413892655548068</v>
      </c>
      <c r="G135" s="166">
        <v>-456.56944591489059</v>
      </c>
      <c r="H135" s="166">
        <v>543.86750976294604</v>
      </c>
      <c r="I135" s="166">
        <v>28.040826322295615</v>
      </c>
      <c r="J135" s="166">
        <v>-17.712912269680494</v>
      </c>
      <c r="K135" s="166">
        <v>-62.326259680304034</v>
      </c>
      <c r="L135" s="383">
        <v>344.57587114380487</v>
      </c>
      <c r="M135" s="166">
        <v>7.1640212823477789</v>
      </c>
      <c r="N135" s="166">
        <v>0.1762664999121584</v>
      </c>
      <c r="O135" s="166">
        <v>31.336718583182005</v>
      </c>
      <c r="P135" s="166">
        <v>23.042604342199336</v>
      </c>
      <c r="Q135" s="166">
        <v>21.332298985804162</v>
      </c>
      <c r="R135" s="166">
        <v>12.19900904016087</v>
      </c>
      <c r="S135" s="166">
        <v>9.7987258779093338</v>
      </c>
      <c r="T135" s="166">
        <v>7.6048118661726276</v>
      </c>
      <c r="U135" s="166">
        <v>7.965039225551986</v>
      </c>
      <c r="V135" s="166">
        <v>11.566159208782222</v>
      </c>
      <c r="W135" s="166">
        <v>14.586881198999142</v>
      </c>
      <c r="X135" s="166">
        <v>23.774179264887835</v>
      </c>
      <c r="Y135" s="166">
        <v>27.717234222234651</v>
      </c>
      <c r="Z135" s="166">
        <v>32.880972421708215</v>
      </c>
      <c r="AA135" s="166"/>
      <c r="AB135" s="166">
        <v>51.453090966948281</v>
      </c>
      <c r="AC135" s="166">
        <v>44.510789620171131</v>
      </c>
      <c r="AD135" s="166">
        <v>44.728855179292005</v>
      </c>
      <c r="AE135" s="166">
        <v>42.381767254302176</v>
      </c>
      <c r="AF135" s="166">
        <v>39.029569931072679</v>
      </c>
      <c r="AG135" s="166">
        <v>35.451088718925604</v>
      </c>
      <c r="AH135" s="166">
        <v>38.757102874254976</v>
      </c>
      <c r="AI135" s="166">
        <v>41.886777528997158</v>
      </c>
      <c r="AJ135" s="166">
        <v>44.967405055481052</v>
      </c>
      <c r="AK135" s="166">
        <v>46.545543564655858</v>
      </c>
      <c r="AL135" s="166">
        <v>49.071684258309148</v>
      </c>
      <c r="AM135" s="32">
        <v>51.515703992656817</v>
      </c>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row>
    <row r="136" spans="1:131">
      <c r="A136" s="11" t="s">
        <v>665</v>
      </c>
      <c r="B136" s="11"/>
      <c r="C136" s="166">
        <v>462.19278227324287</v>
      </c>
      <c r="D136" s="166">
        <v>2.0115772129567233</v>
      </c>
      <c r="E136" s="166">
        <v>0.40231544259134466</v>
      </c>
      <c r="F136" s="166">
        <v>2.413892655548068</v>
      </c>
      <c r="G136" s="166">
        <v>-456.56944591489059</v>
      </c>
      <c r="H136" s="166">
        <v>333.33815114503147</v>
      </c>
      <c r="I136" s="166">
        <v>45.750821894271795</v>
      </c>
      <c r="J136" s="166">
        <v>-17.6727737216798</v>
      </c>
      <c r="K136" s="166">
        <v>-90.462972128486626</v>
      </c>
      <c r="L136" s="383">
        <v>272.27465578187531</v>
      </c>
      <c r="M136" s="166">
        <v>4.3908517536970244</v>
      </c>
      <c r="N136" s="166">
        <v>0.10803430639777449</v>
      </c>
      <c r="O136" s="166">
        <v>19.206375905821229</v>
      </c>
      <c r="P136" s="166">
        <v>14.122886532315722</v>
      </c>
      <c r="Q136" s="166">
        <v>13.074634862267068</v>
      </c>
      <c r="R136" s="166">
        <v>7.4768119923566623</v>
      </c>
      <c r="S136" s="166">
        <v>6.0056706993637858</v>
      </c>
      <c r="T136" s="166">
        <v>4.6610137244283845</v>
      </c>
      <c r="U136" s="166">
        <v>4.881798235015733</v>
      </c>
      <c r="V136" s="166">
        <v>7.0889362892536205</v>
      </c>
      <c r="W136" s="166">
        <v>8.9403465413220555</v>
      </c>
      <c r="X136" s="166">
        <v>14.571271162350607</v>
      </c>
      <c r="Y136" s="166">
        <v>16.987982265240593</v>
      </c>
      <c r="Z136" s="166">
        <v>20.152854064917939</v>
      </c>
      <c r="AA136" s="166"/>
      <c r="AB136" s="166">
        <v>31.535765431355397</v>
      </c>
      <c r="AC136" s="166">
        <v>27.280806541395208</v>
      </c>
      <c r="AD136" s="166">
        <v>27.414459626017681</v>
      </c>
      <c r="AE136" s="166">
        <v>25.975921865540045</v>
      </c>
      <c r="AF136" s="166">
        <v>23.92134931259293</v>
      </c>
      <c r="AG136" s="166">
        <v>21.728086634180208</v>
      </c>
      <c r="AH136" s="166">
        <v>23.754353374543371</v>
      </c>
      <c r="AI136" s="166">
        <v>25.67254106615955</v>
      </c>
      <c r="AJ136" s="166">
        <v>27.560667614649677</v>
      </c>
      <c r="AK136" s="166">
        <v>28.5279137976923</v>
      </c>
      <c r="AL136" s="166">
        <v>30.076193577673347</v>
      </c>
      <c r="AM136" s="32">
        <v>31.574141156789665</v>
      </c>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row>
    <row r="137" spans="1:131">
      <c r="A137" s="11" t="s">
        <v>667</v>
      </c>
      <c r="B137" s="11"/>
      <c r="C137" s="166">
        <v>1352.5220365469634</v>
      </c>
      <c r="D137" s="166">
        <v>134.02315442591345</v>
      </c>
      <c r="E137" s="166">
        <v>26.804630885182689</v>
      </c>
      <c r="F137" s="166">
        <v>160.82778531109614</v>
      </c>
      <c r="G137" s="166">
        <v>-274.71650403990441</v>
      </c>
      <c r="H137" s="166">
        <v>975.45269492967157</v>
      </c>
      <c r="I137" s="166">
        <v>1041.6476488043402</v>
      </c>
      <c r="J137" s="166">
        <v>-15.415638623694418</v>
      </c>
      <c r="K137" s="166">
        <v>-32.721967273198892</v>
      </c>
      <c r="L137" s="383">
        <v>7.4440454814210639</v>
      </c>
      <c r="M137" s="166">
        <v>12.849018816081845</v>
      </c>
      <c r="N137" s="166">
        <v>0.3161424966166454</v>
      </c>
      <c r="O137" s="166">
        <v>56.203921071771596</v>
      </c>
      <c r="P137" s="166">
        <v>41.328025852460748</v>
      </c>
      <c r="Q137" s="166">
        <v>38.26051043905521</v>
      </c>
      <c r="R137" s="166">
        <v>21.879512988159497</v>
      </c>
      <c r="S137" s="166">
        <v>17.574488993927709</v>
      </c>
      <c r="T137" s="166">
        <v>13.639598056748326</v>
      </c>
      <c r="U137" s="166">
        <v>14.285683256151303</v>
      </c>
      <c r="V137" s="166">
        <v>20.744466193815857</v>
      </c>
      <c r="W137" s="166">
        <v>26.162277247237174</v>
      </c>
      <c r="X137" s="166">
        <v>42.640140875089152</v>
      </c>
      <c r="Y137" s="166">
        <v>49.712200734072475</v>
      </c>
      <c r="Z137" s="166">
        <v>58.973615053128292</v>
      </c>
      <c r="AA137" s="166"/>
      <c r="AB137" s="166">
        <v>92.283608314913693</v>
      </c>
      <c r="AC137" s="166">
        <v>79.832254931661765</v>
      </c>
      <c r="AD137" s="166">
        <v>80.223366063504372</v>
      </c>
      <c r="AE137" s="166">
        <v>76.013750301264565</v>
      </c>
      <c r="AF137" s="166">
        <v>70.001422198956163</v>
      </c>
      <c r="AG137" s="166">
        <v>63.583242992653673</v>
      </c>
      <c r="AH137" s="166">
        <v>69.512739348663771</v>
      </c>
      <c r="AI137" s="166">
        <v>75.125962277814267</v>
      </c>
      <c r="AJ137" s="166">
        <v>80.651216809185371</v>
      </c>
      <c r="AK137" s="166">
        <v>83.481684586931166</v>
      </c>
      <c r="AL137" s="166">
        <v>88.012440153612545</v>
      </c>
      <c r="AM137" s="32">
        <v>92.395907806184496</v>
      </c>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row>
    <row r="138" spans="1:131">
      <c r="A138" s="11" t="s">
        <v>669</v>
      </c>
      <c r="B138" s="11"/>
      <c r="C138" s="166">
        <v>345.42828990947618</v>
      </c>
      <c r="D138" s="166">
        <v>113.40810404906972</v>
      </c>
      <c r="E138" s="166">
        <v>22.681620809813946</v>
      </c>
      <c r="F138" s="166">
        <v>136.08972485888367</v>
      </c>
      <c r="G138" s="166">
        <v>-292.3578903944707</v>
      </c>
      <c r="H138" s="166">
        <v>249.12640769786555</v>
      </c>
      <c r="I138" s="166">
        <v>3451.2112197765787</v>
      </c>
      <c r="J138" s="166">
        <v>-9.9545202026799231</v>
      </c>
      <c r="K138" s="166">
        <v>-80.053371425703361</v>
      </c>
      <c r="L138" s="383">
        <v>4.2984614685873614</v>
      </c>
      <c r="M138" s="166">
        <v>3.2815839422367321</v>
      </c>
      <c r="N138" s="166">
        <v>8.0741428992020942E-2</v>
      </c>
      <c r="O138" s="166">
        <v>14.354238834876915</v>
      </c>
      <c r="P138" s="166">
        <v>10.554999408362274</v>
      </c>
      <c r="Q138" s="166">
        <v>9.7715692128522278</v>
      </c>
      <c r="R138" s="166">
        <v>5.5879331732349788</v>
      </c>
      <c r="S138" s="166">
        <v>4.4884486279455649</v>
      </c>
      <c r="T138" s="166">
        <v>3.4834944677306874</v>
      </c>
      <c r="U138" s="166">
        <v>3.6485018388012316</v>
      </c>
      <c r="V138" s="166">
        <v>5.2980471214421785</v>
      </c>
      <c r="W138" s="166">
        <v>6.6817326782512199</v>
      </c>
      <c r="X138" s="166">
        <v>10.890107921335716</v>
      </c>
      <c r="Y138" s="166">
        <v>12.696281482442966</v>
      </c>
      <c r="Z138" s="166">
        <v>15.061606722201828</v>
      </c>
      <c r="AA138" s="166"/>
      <c r="AB138" s="166">
        <v>23.568835217118238</v>
      </c>
      <c r="AC138" s="166">
        <v>20.388813309884839</v>
      </c>
      <c r="AD138" s="166">
        <v>20.488701404707946</v>
      </c>
      <c r="AE138" s="166">
        <v>19.413583710035187</v>
      </c>
      <c r="AF138" s="166">
        <v>17.878061065201031</v>
      </c>
      <c r="AG138" s="166">
        <v>16.238885800282048</v>
      </c>
      <c r="AH138" s="166">
        <v>17.753253574658729</v>
      </c>
      <c r="AI138" s="166">
        <v>19.186846481024503</v>
      </c>
      <c r="AJ138" s="166">
        <v>20.597972638317124</v>
      </c>
      <c r="AK138" s="166">
        <v>21.320861890906876</v>
      </c>
      <c r="AL138" s="166">
        <v>22.477997305419027</v>
      </c>
      <c r="AM138" s="32">
        <v>23.5975160224428</v>
      </c>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row>
    <row r="139" spans="1:131">
      <c r="A139" s="11" t="s">
        <v>671</v>
      </c>
      <c r="B139" s="11"/>
      <c r="C139" s="166">
        <v>754.1040131826594</v>
      </c>
      <c r="D139" s="166">
        <v>162.01157721295672</v>
      </c>
      <c r="E139" s="166">
        <v>32.402315442591345</v>
      </c>
      <c r="F139" s="166">
        <v>194.41389265554807</v>
      </c>
      <c r="G139" s="166">
        <v>-224.96315850065699</v>
      </c>
      <c r="H139" s="166">
        <v>543.86750976294604</v>
      </c>
      <c r="I139" s="166">
        <v>2258.3962820657789</v>
      </c>
      <c r="J139" s="166">
        <v>-12.657957334477748</v>
      </c>
      <c r="K139" s="166">
        <v>-39.727260447917153</v>
      </c>
      <c r="L139" s="383">
        <v>4.2783422175841688</v>
      </c>
      <c r="M139" s="166">
        <v>7.1640212823477789</v>
      </c>
      <c r="N139" s="166">
        <v>0.1762664999121584</v>
      </c>
      <c r="O139" s="166">
        <v>31.336718583182005</v>
      </c>
      <c r="P139" s="166">
        <v>23.042604342199336</v>
      </c>
      <c r="Q139" s="166">
        <v>21.332298985804162</v>
      </c>
      <c r="R139" s="166">
        <v>12.19900904016087</v>
      </c>
      <c r="S139" s="166">
        <v>9.7987258779093338</v>
      </c>
      <c r="T139" s="166">
        <v>7.6048118661726276</v>
      </c>
      <c r="U139" s="166">
        <v>7.965039225551986</v>
      </c>
      <c r="V139" s="166">
        <v>11.566159208782222</v>
      </c>
      <c r="W139" s="166">
        <v>14.586881198999142</v>
      </c>
      <c r="X139" s="166">
        <v>23.774179264887835</v>
      </c>
      <c r="Y139" s="166">
        <v>27.717234222234651</v>
      </c>
      <c r="Z139" s="166">
        <v>32.880972421708215</v>
      </c>
      <c r="AA139" s="166"/>
      <c r="AB139" s="166">
        <v>51.453090966948281</v>
      </c>
      <c r="AC139" s="166">
        <v>44.510789620171131</v>
      </c>
      <c r="AD139" s="166">
        <v>44.728855179292005</v>
      </c>
      <c r="AE139" s="166">
        <v>42.381767254302176</v>
      </c>
      <c r="AF139" s="166">
        <v>39.029569931072679</v>
      </c>
      <c r="AG139" s="166">
        <v>35.451088718925604</v>
      </c>
      <c r="AH139" s="166">
        <v>38.757102874254976</v>
      </c>
      <c r="AI139" s="166">
        <v>41.886777528997158</v>
      </c>
      <c r="AJ139" s="166">
        <v>44.967405055481052</v>
      </c>
      <c r="AK139" s="166">
        <v>46.545543564655858</v>
      </c>
      <c r="AL139" s="166">
        <v>49.071684258309148</v>
      </c>
      <c r="AM139" s="32">
        <v>51.515703992656817</v>
      </c>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row>
    <row r="140" spans="1:131">
      <c r="A140" s="11" t="s">
        <v>668</v>
      </c>
      <c r="B140" s="11"/>
      <c r="C140" s="166">
        <v>3303.4620964582305</v>
      </c>
      <c r="D140" s="166">
        <v>532.0694632777404</v>
      </c>
      <c r="E140" s="166">
        <v>106.41389265554808</v>
      </c>
      <c r="F140" s="166">
        <v>638.48335593328852</v>
      </c>
      <c r="G140" s="166">
        <v>299.34608185731651</v>
      </c>
      <c r="H140" s="166">
        <v>2382.490575026065</v>
      </c>
      <c r="I140" s="166">
        <v>1693.1068178358096</v>
      </c>
      <c r="J140" s="166">
        <v>-13.939148975778181</v>
      </c>
      <c r="K140" s="166">
        <v>-11.108790871834286</v>
      </c>
      <c r="L140" s="383">
        <v>3.7047099466654321</v>
      </c>
      <c r="M140" s="166">
        <v>31.383035165897827</v>
      </c>
      <c r="N140" s="166">
        <v>0.77216098993777771</v>
      </c>
      <c r="O140" s="166">
        <v>137.27504463213276</v>
      </c>
      <c r="P140" s="166">
        <v>100.94147321518288</v>
      </c>
      <c r="Q140" s="166">
        <v>93.449232331361458</v>
      </c>
      <c r="R140" s="166">
        <v>53.439529924317611</v>
      </c>
      <c r="S140" s="166">
        <v>42.924741103873792</v>
      </c>
      <c r="T140" s="166">
        <v>33.313982304072347</v>
      </c>
      <c r="U140" s="166">
        <v>34.892010542901922</v>
      </c>
      <c r="V140" s="166">
        <v>50.667239372665343</v>
      </c>
      <c r="W140" s="166">
        <v>63.899950542712368</v>
      </c>
      <c r="X140" s="166">
        <v>104.1462433603796</v>
      </c>
      <c r="Y140" s="166">
        <v>121.41936797998275</v>
      </c>
      <c r="Z140" s="166">
        <v>144.03987273767663</v>
      </c>
      <c r="AA140" s="166"/>
      <c r="AB140" s="166">
        <v>225.39773397779277</v>
      </c>
      <c r="AC140" s="166">
        <v>194.98597517481414</v>
      </c>
      <c r="AD140" s="166">
        <v>195.9412430112211</v>
      </c>
      <c r="AE140" s="166">
        <v>185.65948364949148</v>
      </c>
      <c r="AF140" s="166">
        <v>170.97469666579579</v>
      </c>
      <c r="AG140" s="166">
        <v>155.29864025903538</v>
      </c>
      <c r="AH140" s="166">
        <v>169.7811151717363</v>
      </c>
      <c r="AI140" s="166">
        <v>183.49110930444562</v>
      </c>
      <c r="AJ140" s="166">
        <v>196.98624537207505</v>
      </c>
      <c r="AK140" s="166">
        <v>203.89951019613758</v>
      </c>
      <c r="AL140" s="166">
        <v>214.96563620252846</v>
      </c>
      <c r="AM140" s="32">
        <v>225.67201942589662</v>
      </c>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row>
    <row r="141" spans="1:131">
      <c r="A141" s="11" t="s">
        <v>670</v>
      </c>
      <c r="B141" s="11"/>
      <c r="C141" s="166">
        <v>462.19278227324287</v>
      </c>
      <c r="D141" s="166">
        <v>162.01157721295672</v>
      </c>
      <c r="E141" s="166">
        <v>32.402315442591345</v>
      </c>
      <c r="F141" s="166">
        <v>194.41389265554807</v>
      </c>
      <c r="G141" s="166">
        <v>-224.96315850065699</v>
      </c>
      <c r="H141" s="166">
        <v>333.33815114503147</v>
      </c>
      <c r="I141" s="166">
        <v>3684.751828633639</v>
      </c>
      <c r="J141" s="166">
        <v>-9.4252156695068887</v>
      </c>
      <c r="K141" s="166">
        <v>-53.590920749329072</v>
      </c>
      <c r="L141" s="383">
        <v>3.3806318206292603</v>
      </c>
      <c r="M141" s="166">
        <v>4.3908517536970244</v>
      </c>
      <c r="N141" s="166">
        <v>0.10803430639777449</v>
      </c>
      <c r="O141" s="166">
        <v>19.206375905821229</v>
      </c>
      <c r="P141" s="166">
        <v>14.122886532315722</v>
      </c>
      <c r="Q141" s="166">
        <v>13.074634862267068</v>
      </c>
      <c r="R141" s="166">
        <v>7.4768119923566623</v>
      </c>
      <c r="S141" s="166">
        <v>6.0056706993637858</v>
      </c>
      <c r="T141" s="166">
        <v>4.6610137244283845</v>
      </c>
      <c r="U141" s="166">
        <v>4.881798235015733</v>
      </c>
      <c r="V141" s="166">
        <v>7.0889362892536205</v>
      </c>
      <c r="W141" s="166">
        <v>8.9403465413220555</v>
      </c>
      <c r="X141" s="166">
        <v>14.571271162350607</v>
      </c>
      <c r="Y141" s="166">
        <v>16.987982265240593</v>
      </c>
      <c r="Z141" s="166">
        <v>20.152854064917939</v>
      </c>
      <c r="AA141" s="166"/>
      <c r="AB141" s="166">
        <v>31.535765431355397</v>
      </c>
      <c r="AC141" s="166">
        <v>27.280806541395208</v>
      </c>
      <c r="AD141" s="166">
        <v>27.414459626017681</v>
      </c>
      <c r="AE141" s="166">
        <v>25.975921865540045</v>
      </c>
      <c r="AF141" s="166">
        <v>23.92134931259293</v>
      </c>
      <c r="AG141" s="166">
        <v>21.728086634180208</v>
      </c>
      <c r="AH141" s="166">
        <v>23.754353374543371</v>
      </c>
      <c r="AI141" s="166">
        <v>25.67254106615955</v>
      </c>
      <c r="AJ141" s="166">
        <v>27.560667614649677</v>
      </c>
      <c r="AK141" s="166">
        <v>28.5279137976923</v>
      </c>
      <c r="AL141" s="166">
        <v>30.076193577673347</v>
      </c>
      <c r="AM141" s="32">
        <v>31.574141156789665</v>
      </c>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row>
    <row r="142" spans="1:131">
      <c r="A142" s="11" t="s">
        <v>672</v>
      </c>
      <c r="B142" s="11"/>
      <c r="C142" s="166">
        <v>1352.5220365469634</v>
      </c>
      <c r="D142" s="166">
        <v>324.02315442591345</v>
      </c>
      <c r="E142" s="166">
        <v>64.804630885182689</v>
      </c>
      <c r="F142" s="166">
        <v>388.82778531109614</v>
      </c>
      <c r="G142" s="166">
        <v>0.31596226449794074</v>
      </c>
      <c r="H142" s="166">
        <v>975.45269492967157</v>
      </c>
      <c r="I142" s="166">
        <v>2518.3555663323432</v>
      </c>
      <c r="J142" s="166">
        <v>-12.06877659937515</v>
      </c>
      <c r="K142" s="166">
        <v>-17.759275560208927</v>
      </c>
      <c r="L142" s="383">
        <v>3.079022111483495</v>
      </c>
      <c r="M142" s="166">
        <v>12.849018816081845</v>
      </c>
      <c r="N142" s="166">
        <v>0.3161424966166454</v>
      </c>
      <c r="O142" s="166">
        <v>56.203921071771596</v>
      </c>
      <c r="P142" s="166">
        <v>41.328025852460748</v>
      </c>
      <c r="Q142" s="166">
        <v>38.26051043905521</v>
      </c>
      <c r="R142" s="166">
        <v>21.879512988159497</v>
      </c>
      <c r="S142" s="166">
        <v>17.574488993927709</v>
      </c>
      <c r="T142" s="166">
        <v>13.639598056748326</v>
      </c>
      <c r="U142" s="166">
        <v>14.285683256151303</v>
      </c>
      <c r="V142" s="166">
        <v>20.744466193815857</v>
      </c>
      <c r="W142" s="166">
        <v>26.162277247237174</v>
      </c>
      <c r="X142" s="166">
        <v>42.640140875089152</v>
      </c>
      <c r="Y142" s="166">
        <v>49.712200734072475</v>
      </c>
      <c r="Z142" s="166">
        <v>58.973615053128292</v>
      </c>
      <c r="AA142" s="166"/>
      <c r="AB142" s="166">
        <v>92.283608314913693</v>
      </c>
      <c r="AC142" s="166">
        <v>79.832254931661765</v>
      </c>
      <c r="AD142" s="166">
        <v>80.223366063504372</v>
      </c>
      <c r="AE142" s="166">
        <v>76.013750301264565</v>
      </c>
      <c r="AF142" s="166">
        <v>70.001422198956163</v>
      </c>
      <c r="AG142" s="166">
        <v>63.583242992653673</v>
      </c>
      <c r="AH142" s="166">
        <v>69.512739348663771</v>
      </c>
      <c r="AI142" s="166">
        <v>75.125962277814267</v>
      </c>
      <c r="AJ142" s="166">
        <v>80.651216809185371</v>
      </c>
      <c r="AK142" s="166">
        <v>83.481684586931166</v>
      </c>
      <c r="AL142" s="166">
        <v>88.012440153612545</v>
      </c>
      <c r="AM142" s="32">
        <v>92.395907806184496</v>
      </c>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row>
    <row r="143" spans="1:131">
      <c r="A143" s="11" t="s">
        <v>673</v>
      </c>
      <c r="B143" s="11"/>
      <c r="C143" s="166">
        <v>3303.4620964582305</v>
      </c>
      <c r="D143" s="166">
        <v>972.0694632777404</v>
      </c>
      <c r="E143" s="166">
        <v>194.4138926555481</v>
      </c>
      <c r="F143" s="166">
        <v>1166.4833559332885</v>
      </c>
      <c r="G143" s="166">
        <v>936.26337224645908</v>
      </c>
      <c r="H143" s="166">
        <v>2382.490575026065</v>
      </c>
      <c r="I143" s="166">
        <v>3093.2379121077679</v>
      </c>
      <c r="J143" s="166">
        <v>-10.765843318738163</v>
      </c>
      <c r="K143" s="166">
        <v>3.0779888377458473</v>
      </c>
      <c r="L143" s="383">
        <v>2.0278005918171509</v>
      </c>
      <c r="M143" s="166">
        <v>31.383035165897827</v>
      </c>
      <c r="N143" s="166">
        <v>0.77216098993777771</v>
      </c>
      <c r="O143" s="166">
        <v>137.27504463213276</v>
      </c>
      <c r="P143" s="166">
        <v>100.94147321518288</v>
      </c>
      <c r="Q143" s="166">
        <v>93.449232331361458</v>
      </c>
      <c r="R143" s="166">
        <v>53.439529924317611</v>
      </c>
      <c r="S143" s="166">
        <v>42.924741103873792</v>
      </c>
      <c r="T143" s="166">
        <v>33.313982304072347</v>
      </c>
      <c r="U143" s="166">
        <v>34.892010542901922</v>
      </c>
      <c r="V143" s="166">
        <v>50.667239372665343</v>
      </c>
      <c r="W143" s="166">
        <v>63.899950542712368</v>
      </c>
      <c r="X143" s="166">
        <v>104.1462433603796</v>
      </c>
      <c r="Y143" s="166">
        <v>121.41936797998275</v>
      </c>
      <c r="Z143" s="166">
        <v>144.03987273767663</v>
      </c>
      <c r="AA143" s="166"/>
      <c r="AB143" s="166">
        <v>225.39773397779277</v>
      </c>
      <c r="AC143" s="166">
        <v>194.98597517481414</v>
      </c>
      <c r="AD143" s="166">
        <v>195.9412430112211</v>
      </c>
      <c r="AE143" s="166">
        <v>185.65948364949148</v>
      </c>
      <c r="AF143" s="166">
        <v>170.97469666579579</v>
      </c>
      <c r="AG143" s="166">
        <v>155.29864025903538</v>
      </c>
      <c r="AH143" s="166">
        <v>169.7811151717363</v>
      </c>
      <c r="AI143" s="166">
        <v>183.49110930444562</v>
      </c>
      <c r="AJ143" s="166">
        <v>196.98624537207505</v>
      </c>
      <c r="AK143" s="166">
        <v>203.89951019613758</v>
      </c>
      <c r="AL143" s="166">
        <v>214.96563620252846</v>
      </c>
      <c r="AM143" s="32">
        <v>225.67201942589662</v>
      </c>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row>
    <row r="144" spans="1:131">
      <c r="A144" s="11"/>
      <c r="B144" s="11"/>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row>
  </sheetData>
  <mergeCells count="3">
    <mergeCell ref="I6:N6"/>
    <mergeCell ref="O6:P6"/>
    <mergeCell ref="R6:T6"/>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sheetPr codeName="Sheet3"/>
  <dimension ref="A1:EA144"/>
  <sheetViews>
    <sheetView workbookViewId="0">
      <selection activeCell="A34" sqref="A34:EA144"/>
    </sheetView>
  </sheetViews>
  <sheetFormatPr defaultRowHeight="12.75"/>
  <cols>
    <col min="1" max="1" width="32.42578125" customWidth="1"/>
    <col min="2" max="2" width="53.2851562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05">
      <c r="A1" s="2" t="s">
        <v>10</v>
      </c>
      <c r="B1" s="3"/>
      <c r="C1" s="3"/>
      <c r="D1" s="3"/>
      <c r="E1" s="3"/>
      <c r="F1" s="3"/>
      <c r="G1" s="3"/>
      <c r="H1" s="4"/>
      <c r="I1" s="5"/>
      <c r="J1" s="5"/>
      <c r="K1" s="5"/>
      <c r="L1" s="5"/>
      <c r="M1" s="5"/>
      <c r="N1" s="6"/>
      <c r="O1" s="7" t="e">
        <v>#REF!</v>
      </c>
      <c r="P1" s="6"/>
      <c r="Q1" s="6"/>
      <c r="R1" s="6"/>
      <c r="S1" s="4"/>
      <c r="T1" s="4"/>
      <c r="U1" s="4"/>
      <c r="V1" s="6"/>
      <c r="W1" s="4"/>
      <c r="X1" s="4"/>
      <c r="Y1" s="4"/>
      <c r="Z1" s="4"/>
      <c r="AA1" s="4"/>
      <c r="AB1" s="4"/>
      <c r="AC1" s="4"/>
      <c r="AD1" s="4"/>
      <c r="AE1" s="4"/>
      <c r="AF1" s="4"/>
      <c r="AG1" s="4"/>
      <c r="AH1" s="4"/>
      <c r="AI1" s="4"/>
      <c r="AJ1" s="4"/>
      <c r="AK1" s="4"/>
      <c r="AL1" s="4"/>
      <c r="AM1" s="4"/>
      <c r="AN1" s="4"/>
      <c r="AO1" s="4"/>
      <c r="AP1" s="8"/>
      <c r="AQ1" s="4"/>
      <c r="AR1" s="4"/>
      <c r="AS1" s="4"/>
      <c r="AT1" s="4"/>
      <c r="AU1" s="4"/>
      <c r="AV1" s="8"/>
      <c r="AW1" s="4"/>
      <c r="AX1" s="4"/>
      <c r="AY1" s="4"/>
      <c r="AZ1" s="4"/>
      <c r="BA1" s="4"/>
      <c r="BB1" s="4"/>
      <c r="BC1" s="4"/>
      <c r="BD1" s="4"/>
      <c r="BE1" s="4"/>
      <c r="BF1" s="4"/>
      <c r="BG1" s="4"/>
      <c r="BH1" s="4"/>
      <c r="BI1" s="4"/>
      <c r="BJ1" s="4"/>
      <c r="BK1" s="4"/>
      <c r="BL1" s="4"/>
      <c r="BM1" s="9"/>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8"/>
      <c r="CQ1" s="4"/>
      <c r="CR1" s="4"/>
      <c r="CS1" s="4"/>
      <c r="CT1" s="4"/>
      <c r="CU1" s="4"/>
      <c r="CV1" s="4"/>
      <c r="CW1" s="4"/>
      <c r="CX1" s="4"/>
      <c r="CY1" s="4"/>
      <c r="CZ1" s="4"/>
      <c r="DA1" s="4"/>
    </row>
    <row r="2" spans="1:105">
      <c r="A2" s="10" t="s">
        <v>11</v>
      </c>
      <c r="B2" s="4" t="str">
        <f>'7PSourceSummary'!D2</f>
        <v>Street and Roadway Lighting</v>
      </c>
      <c r="C2" s="4"/>
      <c r="D2" s="4"/>
      <c r="E2" s="4"/>
      <c r="F2" s="4"/>
      <c r="G2" s="4"/>
      <c r="H2" s="4"/>
      <c r="I2" s="5"/>
      <c r="J2" s="5"/>
      <c r="K2" s="5"/>
      <c r="L2" s="5"/>
      <c r="M2" s="5"/>
      <c r="N2" s="6"/>
      <c r="O2" s="6"/>
      <c r="P2" s="6"/>
      <c r="Q2" s="6"/>
      <c r="R2" s="6"/>
      <c r="S2" s="4"/>
      <c r="T2" s="4"/>
      <c r="U2" s="4"/>
      <c r="V2" s="6"/>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8"/>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05">
      <c r="A3" s="10" t="s">
        <v>12</v>
      </c>
      <c r="B3" s="11"/>
      <c r="C3" s="10">
        <v>2012</v>
      </c>
      <c r="D3" s="11"/>
      <c r="E3" s="11"/>
      <c r="F3" s="11"/>
      <c r="G3" s="11"/>
      <c r="H3" s="11"/>
      <c r="I3" s="11"/>
      <c r="J3" s="12"/>
      <c r="K3" s="13"/>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3"/>
      <c r="CP3" s="13"/>
      <c r="CQ3" s="11"/>
      <c r="CR3" s="11"/>
      <c r="CS3" s="11"/>
      <c r="CT3" s="11"/>
      <c r="CU3" s="11"/>
      <c r="CV3" s="11"/>
      <c r="CW3" s="11"/>
      <c r="CX3" s="11"/>
      <c r="CY3" s="11"/>
      <c r="CZ3" s="11"/>
      <c r="DA3" s="11"/>
    </row>
    <row r="4" spans="1:105" ht="38.25">
      <c r="A4" s="11"/>
      <c r="B4" s="14" t="s">
        <v>674</v>
      </c>
      <c r="C4" s="241" t="s">
        <v>675</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row>
    <row r="5" spans="1:105">
      <c r="A5" s="15">
        <v>1</v>
      </c>
      <c r="B5" s="15">
        <v>2</v>
      </c>
      <c r="C5" s="15">
        <v>3</v>
      </c>
      <c r="D5" s="15">
        <v>4</v>
      </c>
      <c r="E5" s="15">
        <v>5</v>
      </c>
      <c r="F5" s="15">
        <v>6</v>
      </c>
      <c r="G5" s="15">
        <v>7</v>
      </c>
      <c r="H5" s="15">
        <v>8</v>
      </c>
      <c r="I5" s="15">
        <v>9</v>
      </c>
      <c r="J5" s="15">
        <v>10</v>
      </c>
      <c r="K5" s="15">
        <v>11</v>
      </c>
      <c r="L5" s="15">
        <v>12</v>
      </c>
      <c r="M5" s="15">
        <v>13</v>
      </c>
      <c r="N5" s="15">
        <v>14</v>
      </c>
      <c r="O5" s="15">
        <v>15</v>
      </c>
      <c r="P5" s="15">
        <v>16</v>
      </c>
      <c r="Q5" s="15">
        <v>17</v>
      </c>
      <c r="R5" s="15">
        <v>18</v>
      </c>
      <c r="S5" s="15">
        <v>19</v>
      </c>
      <c r="T5" s="15">
        <v>20</v>
      </c>
      <c r="U5" s="15">
        <v>21</v>
      </c>
      <c r="V5" s="15">
        <v>22</v>
      </c>
      <c r="W5" s="15">
        <v>23</v>
      </c>
      <c r="X5" s="15">
        <v>24</v>
      </c>
      <c r="Y5" s="15">
        <v>25</v>
      </c>
      <c r="Z5" s="15">
        <v>26</v>
      </c>
      <c r="AA5" s="15">
        <v>27</v>
      </c>
      <c r="AB5" s="15">
        <v>28</v>
      </c>
      <c r="AC5" s="15">
        <v>29</v>
      </c>
      <c r="AD5" s="15">
        <v>30</v>
      </c>
      <c r="AE5" s="15">
        <v>31</v>
      </c>
      <c r="AF5" s="15">
        <v>32</v>
      </c>
      <c r="AG5" s="15">
        <v>33</v>
      </c>
      <c r="AH5" s="15">
        <v>34</v>
      </c>
      <c r="AI5" s="15">
        <v>35</v>
      </c>
      <c r="AJ5" s="15">
        <v>36</v>
      </c>
      <c r="AK5" s="15">
        <v>37</v>
      </c>
      <c r="AL5" s="15">
        <v>38</v>
      </c>
      <c r="AM5" s="15">
        <v>39</v>
      </c>
      <c r="AN5" s="15">
        <v>40</v>
      </c>
      <c r="AO5" s="15">
        <v>41</v>
      </c>
      <c r="AP5" s="15">
        <v>42</v>
      </c>
      <c r="AQ5" s="15">
        <v>43</v>
      </c>
      <c r="AR5" s="15">
        <v>44</v>
      </c>
      <c r="AS5" s="15">
        <v>45</v>
      </c>
      <c r="AT5" s="15">
        <v>46</v>
      </c>
      <c r="AU5" s="15">
        <v>47</v>
      </c>
      <c r="AV5" s="15">
        <v>48</v>
      </c>
      <c r="AW5" s="15">
        <v>49</v>
      </c>
      <c r="AX5" s="15">
        <v>50</v>
      </c>
      <c r="AY5" s="15">
        <v>51</v>
      </c>
      <c r="AZ5" s="15">
        <v>52</v>
      </c>
      <c r="BA5" s="15">
        <v>53</v>
      </c>
      <c r="BB5" s="15">
        <v>54</v>
      </c>
      <c r="BC5" s="15">
        <v>55</v>
      </c>
      <c r="BD5" s="15">
        <v>56</v>
      </c>
      <c r="BE5" s="15">
        <v>57</v>
      </c>
      <c r="BF5" s="15">
        <v>58</v>
      </c>
      <c r="BG5" s="15">
        <v>59</v>
      </c>
      <c r="BH5" s="15">
        <v>60</v>
      </c>
      <c r="BI5" s="15">
        <v>61</v>
      </c>
      <c r="BJ5" s="15">
        <v>62</v>
      </c>
      <c r="BK5" s="15">
        <v>63</v>
      </c>
      <c r="BL5" s="15">
        <v>64</v>
      </c>
      <c r="BM5" s="15">
        <v>65</v>
      </c>
      <c r="BN5" s="15">
        <v>66</v>
      </c>
      <c r="BO5" s="15">
        <v>67</v>
      </c>
      <c r="BP5" s="15">
        <v>68</v>
      </c>
      <c r="BQ5" s="15">
        <v>69</v>
      </c>
      <c r="BR5" s="15">
        <v>70</v>
      </c>
      <c r="BS5" s="15">
        <v>71</v>
      </c>
      <c r="BT5" s="15">
        <v>72</v>
      </c>
      <c r="BU5" s="15">
        <v>73</v>
      </c>
      <c r="BV5" s="15">
        <v>74</v>
      </c>
      <c r="BW5" s="15">
        <v>75</v>
      </c>
      <c r="BX5" s="15">
        <v>76</v>
      </c>
      <c r="BY5" s="15">
        <v>77</v>
      </c>
      <c r="BZ5" s="15">
        <v>78</v>
      </c>
      <c r="CA5" s="15">
        <v>79</v>
      </c>
      <c r="CB5" s="15">
        <v>80</v>
      </c>
      <c r="CC5" s="15">
        <v>81</v>
      </c>
      <c r="CD5" s="15">
        <v>82</v>
      </c>
      <c r="CE5" s="15">
        <v>83</v>
      </c>
      <c r="CF5" s="15">
        <v>84</v>
      </c>
      <c r="CG5" s="15">
        <v>85</v>
      </c>
      <c r="CH5" s="15">
        <v>86</v>
      </c>
      <c r="CI5" s="15">
        <v>87</v>
      </c>
      <c r="CJ5" s="15">
        <v>88</v>
      </c>
      <c r="CK5" s="15">
        <v>89</v>
      </c>
      <c r="CL5" s="15">
        <v>90</v>
      </c>
      <c r="CM5" s="15">
        <v>91</v>
      </c>
      <c r="CN5" s="15">
        <v>92</v>
      </c>
      <c r="CO5" s="15">
        <v>93</v>
      </c>
      <c r="CP5" s="15">
        <v>94</v>
      </c>
      <c r="CQ5" s="15">
        <v>95</v>
      </c>
      <c r="CR5" s="15">
        <v>96</v>
      </c>
      <c r="CS5" s="15">
        <v>97</v>
      </c>
      <c r="CT5" s="15">
        <v>98</v>
      </c>
      <c r="CU5" s="15">
        <v>99</v>
      </c>
      <c r="CV5" s="15">
        <v>100</v>
      </c>
      <c r="CW5" s="15">
        <v>101</v>
      </c>
      <c r="CX5" s="15">
        <v>102</v>
      </c>
      <c r="CY5" s="15">
        <v>103</v>
      </c>
      <c r="CZ5" s="15">
        <v>104</v>
      </c>
      <c r="DA5" s="15">
        <v>105</v>
      </c>
    </row>
    <row r="6" spans="1:105">
      <c r="A6" s="16" t="s">
        <v>13</v>
      </c>
      <c r="B6" s="17"/>
      <c r="C6" s="17"/>
      <c r="D6" s="17"/>
      <c r="E6" s="17"/>
      <c r="F6" s="17"/>
      <c r="G6" s="18"/>
      <c r="H6" s="19"/>
      <c r="I6" s="445" t="s">
        <v>14</v>
      </c>
      <c r="J6" s="446"/>
      <c r="K6" s="446"/>
      <c r="L6" s="446"/>
      <c r="M6" s="446"/>
      <c r="N6" s="447"/>
      <c r="O6" s="448" t="s">
        <v>15</v>
      </c>
      <c r="P6" s="449"/>
      <c r="Q6" s="20" t="s">
        <v>16</v>
      </c>
      <c r="R6" s="450" t="s">
        <v>17</v>
      </c>
      <c r="S6" s="450"/>
      <c r="T6" s="450"/>
      <c r="U6" s="21"/>
      <c r="V6" s="21"/>
      <c r="W6" s="21"/>
      <c r="X6" s="22"/>
      <c r="Y6" s="23"/>
      <c r="Z6" s="21"/>
      <c r="AA6" s="21"/>
      <c r="AB6" s="21"/>
      <c r="AC6" s="21"/>
      <c r="AD6" s="21"/>
      <c r="AE6" s="24"/>
      <c r="AF6" s="24"/>
      <c r="AG6" s="24"/>
      <c r="AH6" s="24"/>
      <c r="AI6" s="24"/>
      <c r="AJ6" s="24"/>
      <c r="AK6" s="24"/>
      <c r="AL6" s="24"/>
      <c r="AM6" s="24"/>
      <c r="AN6" s="24"/>
      <c r="AO6" s="2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row>
    <row r="7" spans="1:105" ht="25.5">
      <c r="A7" s="25" t="s">
        <v>18</v>
      </c>
      <c r="B7" s="25" t="s">
        <v>19</v>
      </c>
      <c r="C7" s="25" t="s">
        <v>20</v>
      </c>
      <c r="D7" s="25" t="s">
        <v>21</v>
      </c>
      <c r="E7" s="25" t="s">
        <v>22</v>
      </c>
      <c r="F7" s="26" t="s">
        <v>23</v>
      </c>
      <c r="G7" s="25" t="s">
        <v>24</v>
      </c>
      <c r="H7" s="27" t="s">
        <v>25</v>
      </c>
      <c r="I7" s="27" t="s">
        <v>26</v>
      </c>
      <c r="J7" s="27" t="s">
        <v>27</v>
      </c>
      <c r="K7" s="27" t="s">
        <v>28</v>
      </c>
      <c r="L7" s="27" t="s">
        <v>29</v>
      </c>
      <c r="M7" s="27" t="s">
        <v>30</v>
      </c>
      <c r="N7" s="27" t="s">
        <v>31</v>
      </c>
      <c r="O7" s="28" t="s">
        <v>32</v>
      </c>
      <c r="P7" s="27" t="s">
        <v>24</v>
      </c>
      <c r="Q7" s="29" t="s">
        <v>33</v>
      </c>
      <c r="R7" s="30" t="s">
        <v>34</v>
      </c>
      <c r="S7" s="30" t="s">
        <v>35</v>
      </c>
      <c r="T7" s="30" t="s">
        <v>36</v>
      </c>
      <c r="U7" s="31"/>
      <c r="V7" s="31"/>
      <c r="W7" s="31"/>
      <c r="X7" s="31"/>
      <c r="Y7" s="31"/>
      <c r="Z7" s="31"/>
      <c r="AA7" s="31"/>
      <c r="AB7" s="31"/>
      <c r="AC7" s="31"/>
      <c r="AD7" s="31"/>
      <c r="AE7" s="24"/>
      <c r="AF7" s="24"/>
      <c r="AG7" s="24"/>
      <c r="AH7" s="24"/>
      <c r="AI7" s="24"/>
      <c r="AJ7" s="24"/>
      <c r="AK7" s="24"/>
      <c r="AL7" s="24"/>
      <c r="AM7" s="24"/>
      <c r="AN7" s="24"/>
      <c r="AO7" s="2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row>
    <row r="8" spans="1:105">
      <c r="A8" s="63" t="str">
        <f>LEFT(B8,22)&amp;" - New"</f>
        <v>Streetlight - HPS 100W - New</v>
      </c>
      <c r="B8" s="32" t="str">
        <f>MMap!F13</f>
        <v>Streetlight - HPS 100W - Group Relamp - to LED 42W - New</v>
      </c>
      <c r="C8" s="33">
        <f>MMap!G13*VLOOKUP(B8,MMap!$F$13:$AU$36,MATCH('M_Input (WT)'!$C$4,MMap!$F$12:$AU$12,0),FALSE)</f>
        <v>84.924999999999983</v>
      </c>
      <c r="D8" s="63">
        <f>MMap!L13</f>
        <v>16.279069767441861</v>
      </c>
      <c r="E8" s="35">
        <f>MMap!H13*VLOOKUP(B8,MMap!$F$13:$AU$36,MATCH('M_Input (WT)'!$C$4,MMap!$F$12:$AU$12,0),FALSE)</f>
        <v>-2.1479739877325699</v>
      </c>
      <c r="F8" s="35">
        <f>MMap!M13*VLOOKUP(B8,MMap!$F$13:$AU$36,MATCH('M_Input (WT)'!$C$4,MMap!$F$12:$AU$12,0),FALSE)</f>
        <v>0</v>
      </c>
      <c r="G8" s="36" t="s">
        <v>526</v>
      </c>
      <c r="H8" s="34"/>
      <c r="I8" s="54">
        <f>MMap!N13*VLOOKUP(B8,MMap!$F$13:$AU$36,MATCH('M_Input (WT)'!$C$4,MMap!$F$12:$AU$12,0),FALSE)</f>
        <v>-19.25</v>
      </c>
      <c r="J8" s="34">
        <f>MMap!O13</f>
        <v>5</v>
      </c>
      <c r="K8" s="34"/>
      <c r="L8" s="34"/>
      <c r="M8" s="34"/>
      <c r="N8" s="34"/>
      <c r="O8" s="11"/>
      <c r="P8" s="37"/>
      <c r="Q8" s="38" t="s">
        <v>871</v>
      </c>
      <c r="R8" s="34"/>
      <c r="S8" s="34"/>
      <c r="T8" s="34"/>
      <c r="U8" s="31"/>
      <c r="V8" s="31"/>
      <c r="W8" s="31"/>
      <c r="X8" s="31"/>
      <c r="Y8" s="31"/>
      <c r="Z8" s="31"/>
      <c r="AA8" s="31"/>
      <c r="AB8" s="31"/>
      <c r="AC8" s="31"/>
      <c r="AD8" s="31"/>
      <c r="AE8" s="24"/>
      <c r="AF8" s="24"/>
      <c r="AG8" s="24"/>
      <c r="AH8" s="24"/>
      <c r="AI8" s="24"/>
      <c r="AJ8" s="24"/>
      <c r="AK8" s="24"/>
      <c r="AL8" s="24"/>
      <c r="AM8" s="24"/>
      <c r="AN8" s="24"/>
      <c r="AO8" s="24"/>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row>
    <row r="9" spans="1:105">
      <c r="A9" s="63" t="str">
        <f t="shared" ref="A9:A19" si="0">LEFT(B9,22)&amp;" - New"</f>
        <v>Streetlight - HPS 100W - New</v>
      </c>
      <c r="B9" s="32" t="str">
        <f>MMap!F14</f>
        <v>Streetlight - HPS 100W - Tariff Relamp - to LED 42W - New</v>
      </c>
      <c r="C9" s="33">
        <f>MMap!G14*VLOOKUP(B9,MMap!$F$13:$AU$36,MATCH('M_Input (WT)'!$C$4,MMap!$F$12:$AU$12,0),FALSE)</f>
        <v>84.924999999999983</v>
      </c>
      <c r="D9" s="63">
        <f>MMap!L14</f>
        <v>16.279069767441861</v>
      </c>
      <c r="E9" s="35">
        <f>MMap!H14*VLOOKUP(B9,MMap!$F$13:$AU$36,MATCH('M_Input (WT)'!$C$4,MMap!$F$12:$AU$12,0),FALSE)</f>
        <v>-2.1479739877325699</v>
      </c>
      <c r="F9" s="35">
        <f>MMap!M14*VLOOKUP(B9,MMap!$F$13:$AU$36,MATCH('M_Input (WT)'!$C$4,MMap!$F$12:$AU$12,0),FALSE)</f>
        <v>-14</v>
      </c>
      <c r="G9" s="36" t="s">
        <v>526</v>
      </c>
      <c r="H9" s="11"/>
      <c r="I9" s="54">
        <f>MMap!N14*VLOOKUP(B9,MMap!$F$13:$AU$36,MATCH('M_Input (WT)'!$C$4,MMap!$F$12:$AU$12,0),FALSE)</f>
        <v>0</v>
      </c>
      <c r="J9" s="34">
        <f>MMap!O14</f>
        <v>0</v>
      </c>
      <c r="K9" s="11"/>
      <c r="L9" s="11"/>
      <c r="M9" s="11"/>
      <c r="N9" s="11"/>
      <c r="O9" s="11"/>
      <c r="P9" s="37"/>
      <c r="Q9" s="38" t="s">
        <v>871</v>
      </c>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row>
    <row r="10" spans="1:105">
      <c r="A10" s="63" t="str">
        <f t="shared" si="0"/>
        <v>Streetlight - HPS 100W - New</v>
      </c>
      <c r="B10" s="32" t="str">
        <f>MMap!F15</f>
        <v>Streetlight - HPS 100W - Group Relamp - to LED 58W - New</v>
      </c>
      <c r="C10" s="33">
        <f>MMap!G15*VLOOKUP(B10,MMap!$F$13:$AU$36,MATCH('M_Input (WT)'!$C$4,MMap!$F$12:$AU$12,0),FALSE)</f>
        <v>67.724999999999994</v>
      </c>
      <c r="D10" s="63">
        <f>MMap!L15</f>
        <v>16.279069767441861</v>
      </c>
      <c r="E10" s="35">
        <f>MMap!H15*VLOOKUP(B10,MMap!$F$13:$AU$36,MATCH('M_Input (WT)'!$C$4,MMap!$F$12:$AU$12,0),FALSE)</f>
        <v>-2.1479739877325699</v>
      </c>
      <c r="F10" s="35">
        <f>MMap!M15*VLOOKUP(B10,MMap!$F$13:$AU$36,MATCH('M_Input (WT)'!$C$4,MMap!$F$12:$AU$12,0),FALSE)</f>
        <v>0</v>
      </c>
      <c r="G10" s="36" t="s">
        <v>526</v>
      </c>
      <c r="H10" s="11"/>
      <c r="I10" s="54">
        <f>MMap!N15*VLOOKUP(B10,MMap!$F$13:$AU$36,MATCH('M_Input (WT)'!$C$4,MMap!$F$12:$AU$12,0),FALSE)</f>
        <v>-19.25</v>
      </c>
      <c r="J10" s="34">
        <f>MMap!O15</f>
        <v>5</v>
      </c>
      <c r="K10" s="11"/>
      <c r="L10" s="11"/>
      <c r="M10" s="11"/>
      <c r="N10" s="11"/>
      <c r="O10" s="11"/>
      <c r="P10" s="37"/>
      <c r="Q10" s="38" t="s">
        <v>871</v>
      </c>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row>
    <row r="11" spans="1:105">
      <c r="A11" s="63" t="str">
        <f t="shared" si="0"/>
        <v>Streetlight - HPS 100W - New</v>
      </c>
      <c r="B11" s="32" t="str">
        <f>MMap!F16</f>
        <v>Streetlight - HPS 100W - Tariff Relamp - to LED 58W - New</v>
      </c>
      <c r="C11" s="33">
        <f>MMap!G16*VLOOKUP(B11,MMap!$F$13:$AU$36,MATCH('M_Input (WT)'!$C$4,MMap!$F$12:$AU$12,0),FALSE)</f>
        <v>67.724999999999994</v>
      </c>
      <c r="D11" s="63">
        <f>MMap!L16</f>
        <v>16.279069767441861</v>
      </c>
      <c r="E11" s="35">
        <f>MMap!H16*VLOOKUP(B11,MMap!$F$13:$AU$36,MATCH('M_Input (WT)'!$C$4,MMap!$F$12:$AU$12,0),FALSE)</f>
        <v>-2.1479739877325699</v>
      </c>
      <c r="F11" s="35">
        <f>MMap!M16*VLOOKUP(B11,MMap!$F$13:$AU$36,MATCH('M_Input (WT)'!$C$4,MMap!$F$12:$AU$12,0),FALSE)</f>
        <v>-14</v>
      </c>
      <c r="G11" s="36" t="s">
        <v>526</v>
      </c>
      <c r="H11" s="11"/>
      <c r="I11" s="54">
        <f>MMap!N16*VLOOKUP(B11,MMap!$F$13:$AU$36,MATCH('M_Input (WT)'!$C$4,MMap!$F$12:$AU$12,0),FALSE)</f>
        <v>0</v>
      </c>
      <c r="J11" s="34">
        <f>MMap!O16</f>
        <v>0</v>
      </c>
      <c r="K11" s="11"/>
      <c r="L11" s="11"/>
      <c r="M11" s="11"/>
      <c r="N11" s="11"/>
      <c r="O11" s="11"/>
      <c r="P11" s="11"/>
      <c r="Q11" s="38" t="s">
        <v>871</v>
      </c>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row>
    <row r="12" spans="1:105">
      <c r="A12" s="63" t="str">
        <f t="shared" si="0"/>
        <v>Streetlight - MH 200W  - New</v>
      </c>
      <c r="B12" s="32" t="str">
        <f>MMap!F17</f>
        <v>Streetlight - MH 200W - Group Relamp - to LED 135W - New</v>
      </c>
      <c r="C12" s="33">
        <f>MMap!G17*VLOOKUP(B12,MMap!$F$13:$AU$36,MATCH('M_Input (WT)'!$C$4,MMap!$F$12:$AU$12,0),FALSE)</f>
        <v>204.25</v>
      </c>
      <c r="D12" s="63">
        <f>MMap!L17</f>
        <v>16.279069767441861</v>
      </c>
      <c r="E12" s="35">
        <f>MMap!H17*VLOOKUP(B12,MMap!$F$13:$AU$36,MATCH('M_Input (WT)'!$C$4,MMap!$F$12:$AU$12,0),FALSE)</f>
        <v>1.0057886064783617</v>
      </c>
      <c r="F12" s="35">
        <f>MMap!M17*VLOOKUP(B12,MMap!$F$13:$AU$36,MATCH('M_Input (WT)'!$C$4,MMap!$F$12:$AU$12,0),FALSE)</f>
        <v>0</v>
      </c>
      <c r="G12" s="36" t="s">
        <v>526</v>
      </c>
      <c r="H12" s="11"/>
      <c r="I12" s="54">
        <f>MMap!N17*VLOOKUP(B12,MMap!$F$13:$AU$36,MATCH('M_Input (WT)'!$C$4,MMap!$F$12:$AU$12,0),FALSE)</f>
        <v>-40</v>
      </c>
      <c r="J12" s="34">
        <f>MMap!O17</f>
        <v>5</v>
      </c>
      <c r="K12" s="11"/>
      <c r="L12" s="11"/>
      <c r="M12" s="11"/>
      <c r="N12" s="11"/>
      <c r="O12" s="11"/>
      <c r="P12" s="11"/>
      <c r="Q12" s="38" t="s">
        <v>871</v>
      </c>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row>
    <row r="13" spans="1:105">
      <c r="A13" s="63" t="str">
        <f t="shared" si="0"/>
        <v>Streetlight - MH 200W  - New</v>
      </c>
      <c r="B13" s="32" t="str">
        <f>MMap!F18</f>
        <v>Streetlight - MH 200W - Tariff Relamp - to LED 135W - New</v>
      </c>
      <c r="C13" s="33">
        <f>MMap!G18*VLOOKUP(B13,MMap!$F$13:$AU$36,MATCH('M_Input (WT)'!$C$4,MMap!$F$12:$AU$12,0),FALSE)</f>
        <v>204.25</v>
      </c>
      <c r="D13" s="63">
        <f>MMap!L18</f>
        <v>16.279069767441861</v>
      </c>
      <c r="E13" s="35">
        <f>MMap!H18*VLOOKUP(B13,MMap!$F$13:$AU$36,MATCH('M_Input (WT)'!$C$4,MMap!$F$12:$AU$12,0),FALSE)</f>
        <v>1.0057886064783617</v>
      </c>
      <c r="F13" s="35">
        <f>MMap!M18*VLOOKUP(B13,MMap!$F$13:$AU$36,MATCH('M_Input (WT)'!$C$4,MMap!$F$12:$AU$12,0),FALSE)</f>
        <v>-28</v>
      </c>
      <c r="G13" s="36" t="s">
        <v>526</v>
      </c>
      <c r="H13" s="11"/>
      <c r="I13" s="54">
        <f>MMap!N18*VLOOKUP(B13,MMap!$F$13:$AU$36,MATCH('M_Input (WT)'!$C$4,MMap!$F$12:$AU$12,0),FALSE)</f>
        <v>0</v>
      </c>
      <c r="J13" s="34">
        <f>MMap!O18</f>
        <v>0</v>
      </c>
      <c r="K13" s="11"/>
      <c r="L13" s="11"/>
      <c r="M13" s="11"/>
      <c r="N13" s="11"/>
      <c r="O13" s="11"/>
      <c r="P13" s="11"/>
      <c r="Q13" s="38" t="s">
        <v>871</v>
      </c>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row>
    <row r="14" spans="1:105">
      <c r="A14" s="63" t="str">
        <f t="shared" si="0"/>
        <v>Streetlight - HPS 250W - New</v>
      </c>
      <c r="B14" s="32" t="str">
        <f>MMap!F19</f>
        <v>Streetlight - HPS 250W - Group Relamp - to LED 135W - New</v>
      </c>
      <c r="C14" s="33">
        <f>MMap!G19*VLOOKUP(B14,MMap!$F$13:$AU$36,MATCH('M_Input (WT)'!$C$4,MMap!$F$12:$AU$12,0),FALSE)</f>
        <v>333.25</v>
      </c>
      <c r="D14" s="63">
        <f>MMap!L19</f>
        <v>16.279069767441861</v>
      </c>
      <c r="E14" s="35">
        <f>MMap!H19*VLOOKUP(B14,MMap!$F$13:$AU$36,MATCH('M_Input (WT)'!$C$4,MMap!$F$12:$AU$12,0),FALSE)</f>
        <v>1.0057886064783617</v>
      </c>
      <c r="F14" s="35">
        <f>MMap!M19*VLOOKUP(B14,MMap!$F$13:$AU$36,MATCH('M_Input (WT)'!$C$4,MMap!$F$12:$AU$12,0),FALSE)</f>
        <v>0</v>
      </c>
      <c r="G14" s="36" t="s">
        <v>526</v>
      </c>
      <c r="I14" s="54">
        <f>MMap!N19*VLOOKUP(B14,MMap!$F$13:$AU$36,MATCH('M_Input (WT)'!$C$4,MMap!$F$12:$AU$12,0),FALSE)</f>
        <v>-40</v>
      </c>
      <c r="J14" s="34">
        <f>MMap!O19</f>
        <v>5</v>
      </c>
      <c r="Q14" s="38" t="s">
        <v>871</v>
      </c>
    </row>
    <row r="15" spans="1:105">
      <c r="A15" s="63" t="str">
        <f t="shared" si="0"/>
        <v>Streetlight - HPS 250W - New</v>
      </c>
      <c r="B15" s="32" t="str">
        <f>MMap!F20</f>
        <v>Streetlight - HPS 250W - Tariff Relamp - to LED 135W - New</v>
      </c>
      <c r="C15" s="33">
        <f>MMap!G20*VLOOKUP(B15,MMap!$F$13:$AU$36,MATCH('M_Input (WT)'!$C$4,MMap!$F$12:$AU$12,0),FALSE)</f>
        <v>333.25</v>
      </c>
      <c r="D15" s="63">
        <f>MMap!L20</f>
        <v>16.279069767441861</v>
      </c>
      <c r="E15" s="35">
        <f>MMap!H20*VLOOKUP(B15,MMap!$F$13:$AU$36,MATCH('M_Input (WT)'!$C$4,MMap!$F$12:$AU$12,0),FALSE)</f>
        <v>1.0057886064783617</v>
      </c>
      <c r="F15" s="35">
        <f>MMap!M20*VLOOKUP(B15,MMap!$F$13:$AU$36,MATCH('M_Input (WT)'!$C$4,MMap!$F$12:$AU$12,0),FALSE)</f>
        <v>-28</v>
      </c>
      <c r="G15" s="36" t="s">
        <v>526</v>
      </c>
      <c r="I15" s="54">
        <f>MMap!N20*VLOOKUP(B15,MMap!$F$13:$AU$36,MATCH('M_Input (WT)'!$C$4,MMap!$F$12:$AU$12,0),FALSE)</f>
        <v>0</v>
      </c>
      <c r="J15" s="34">
        <f>MMap!O20</f>
        <v>0</v>
      </c>
      <c r="Q15" s="38" t="s">
        <v>871</v>
      </c>
    </row>
    <row r="16" spans="1:105">
      <c r="A16" s="63" t="str">
        <f t="shared" si="0"/>
        <v>Streetlight - MH 400W  - New</v>
      </c>
      <c r="B16" s="32" t="str">
        <f>MMap!F21</f>
        <v>Streetlight - MH 400W - Group Relamp - to LED 180W - New</v>
      </c>
      <c r="C16" s="33">
        <f>MMap!G21*VLOOKUP(B16,MMap!$F$13:$AU$36,MATCH('M_Input (WT)'!$C$4,MMap!$F$12:$AU$12,0),FALSE)</f>
        <v>597.70000000000005</v>
      </c>
      <c r="D16" s="63">
        <f>MMap!L21</f>
        <v>16.279069767441861</v>
      </c>
      <c r="E16" s="35">
        <f>MMap!H21*VLOOKUP(B16,MMap!$F$13:$AU$36,MATCH('M_Input (WT)'!$C$4,MMap!$F$12:$AU$12,0),FALSE)</f>
        <v>67.011577212956723</v>
      </c>
      <c r="F16" s="35">
        <f>MMap!M21*VLOOKUP(B16,MMap!$F$13:$AU$36,MATCH('M_Input (WT)'!$C$4,MMap!$F$12:$AU$12,0),FALSE)</f>
        <v>0</v>
      </c>
      <c r="G16" s="36" t="s">
        <v>526</v>
      </c>
      <c r="I16" s="54">
        <f>MMap!N21*VLOOKUP(B16,MMap!$F$13:$AU$36,MATCH('M_Input (WT)'!$C$4,MMap!$F$12:$AU$12,0),FALSE)</f>
        <v>-41.5</v>
      </c>
      <c r="J16" s="34">
        <f>MMap!O21</f>
        <v>4</v>
      </c>
      <c r="Q16" s="38" t="s">
        <v>871</v>
      </c>
    </row>
    <row r="17" spans="1:17">
      <c r="A17" s="63" t="str">
        <f t="shared" si="0"/>
        <v>Streetlight - MH 400W  - New</v>
      </c>
      <c r="B17" s="32" t="str">
        <f>MMap!F22</f>
        <v>Streetlight - MH 400W - Tariff Relamp - to LED 180W - New</v>
      </c>
      <c r="C17" s="33">
        <f>MMap!G22*VLOOKUP(B17,MMap!$F$13:$AU$36,MATCH('M_Input (WT)'!$C$4,MMap!$F$12:$AU$12,0),FALSE)</f>
        <v>597.70000000000005</v>
      </c>
      <c r="D17" s="63">
        <f>MMap!L22</f>
        <v>16.279069767441861</v>
      </c>
      <c r="E17" s="35">
        <f>MMap!H22*VLOOKUP(B17,MMap!$F$13:$AU$36,MATCH('M_Input (WT)'!$C$4,MMap!$F$12:$AU$12,0),FALSE)</f>
        <v>67.011577212956723</v>
      </c>
      <c r="F17" s="35">
        <f>MMap!M22*VLOOKUP(B17,MMap!$F$13:$AU$36,MATCH('M_Input (WT)'!$C$4,MMap!$F$12:$AU$12,0),FALSE)</f>
        <v>-28</v>
      </c>
      <c r="G17" s="36" t="s">
        <v>526</v>
      </c>
      <c r="I17" s="54">
        <f>MMap!N22*VLOOKUP(B17,MMap!$F$13:$AU$36,MATCH('M_Input (WT)'!$C$4,MMap!$F$12:$AU$12,0),FALSE)</f>
        <v>0</v>
      </c>
      <c r="J17" s="34">
        <f>MMap!O22</f>
        <v>0</v>
      </c>
      <c r="Q17" s="38" t="s">
        <v>871</v>
      </c>
    </row>
    <row r="18" spans="1:17">
      <c r="A18" s="63" t="str">
        <f t="shared" si="0"/>
        <v>Streetlight - MH 1000W - New</v>
      </c>
      <c r="B18" s="32" t="str">
        <f>MMap!F23</f>
        <v>Streetlight - MH 1000W - Group Relamp - to LED 421W - New</v>
      </c>
      <c r="C18" s="33">
        <f>MMap!G23*VLOOKUP(B18,MMap!$F$13:$AU$36,MATCH('M_Input (WT)'!$C$4,MMap!$F$12:$AU$12,0),FALSE)</f>
        <v>1459.85</v>
      </c>
      <c r="D18" s="63">
        <f>MMap!L23</f>
        <v>16.279069767441861</v>
      </c>
      <c r="E18" s="35">
        <f>MMap!H23*VLOOKUP(B18,MMap!$F$13:$AU$36,MATCH('M_Input (WT)'!$C$4,MMap!$F$12:$AU$12,0),FALSE)</f>
        <v>266.0347316388702</v>
      </c>
      <c r="F18" s="35">
        <f>MMap!M23*VLOOKUP(B18,MMap!$F$13:$AU$36,MATCH('M_Input (WT)'!$C$4,MMap!$F$12:$AU$12,0),FALSE)</f>
        <v>0</v>
      </c>
      <c r="G18" s="36" t="s">
        <v>526</v>
      </c>
      <c r="I18" s="54">
        <f>MMap!N23*VLOOKUP(B18,MMap!$F$13:$AU$36,MATCH('M_Input (WT)'!$C$4,MMap!$F$12:$AU$12,0),FALSE)</f>
        <v>-42.5</v>
      </c>
      <c r="J18" s="34">
        <f>MMap!O23</f>
        <v>4</v>
      </c>
      <c r="Q18" s="38" t="s">
        <v>871</v>
      </c>
    </row>
    <row r="19" spans="1:17">
      <c r="A19" s="63" t="str">
        <f t="shared" si="0"/>
        <v>Streetlight - MH 1000W - New</v>
      </c>
      <c r="B19" s="32" t="str">
        <f>MMap!F24</f>
        <v>Streetlight - MH 1000W - Tariff Relamp - to LED 421W - New</v>
      </c>
      <c r="C19" s="33">
        <f>MMap!G24*VLOOKUP(B19,MMap!$F$13:$AU$36,MATCH('M_Input (WT)'!$C$4,MMap!$F$12:$AU$12,0),FALSE)</f>
        <v>1459.85</v>
      </c>
      <c r="D19" s="63">
        <f>MMap!L24</f>
        <v>16.279069767441861</v>
      </c>
      <c r="E19" s="35">
        <f>MMap!H24*VLOOKUP(B19,MMap!$F$13:$AU$36,MATCH('M_Input (WT)'!$C$4,MMap!$F$12:$AU$12,0),FALSE)</f>
        <v>266.0347316388702</v>
      </c>
      <c r="F19" s="35">
        <f>MMap!M24*VLOOKUP(B19,MMap!$F$13:$AU$36,MATCH('M_Input (WT)'!$C$4,MMap!$F$12:$AU$12,0),FALSE)</f>
        <v>-28</v>
      </c>
      <c r="G19" s="36" t="s">
        <v>526</v>
      </c>
      <c r="I19" s="54">
        <f>MMap!N24*VLOOKUP(B19,MMap!$F$13:$AU$36,MATCH('M_Input (WT)'!$C$4,MMap!$F$12:$AU$12,0),FALSE)</f>
        <v>0</v>
      </c>
      <c r="J19" s="34">
        <f>MMap!O24</f>
        <v>0</v>
      </c>
      <c r="Q19" s="38" t="s">
        <v>871</v>
      </c>
    </row>
    <row r="20" spans="1:17">
      <c r="A20" s="63" t="str">
        <f>LEFT(B20,22)&amp;" - NR"</f>
        <v>Streetlight - HPS 100W - NR</v>
      </c>
      <c r="B20" s="32" t="str">
        <f>MMap!F25</f>
        <v>Streetlight - HPS 100W - Group Relamp - to LED 42W - NR</v>
      </c>
      <c r="C20" s="33">
        <f>MMap!G25*VLOOKUP(B20,MMap!$F$13:$AU$36,MATCH('M_Input (WT)'!$C$4,MMap!$F$12:$AU$12,0),FALSE)</f>
        <v>84.924999999999983</v>
      </c>
      <c r="D20" s="63">
        <f>MMap!L25</f>
        <v>16.279069767441861</v>
      </c>
      <c r="E20" s="35">
        <f>MMap!H25*VLOOKUP(B20,MMap!$F$13:$AU$36,MATCH('M_Input (WT)'!$C$4,MMap!$F$12:$AU$12,0),FALSE)</f>
        <v>28.35202601226743</v>
      </c>
      <c r="F20" s="35">
        <f>MMap!M25*VLOOKUP(B20,MMap!$F$13:$AU$36,MATCH('M_Input (WT)'!$C$4,MMap!$F$12:$AU$12,0),FALSE)</f>
        <v>0</v>
      </c>
      <c r="G20" s="36" t="s">
        <v>526</v>
      </c>
      <c r="I20" s="54">
        <f>MMap!N25*VLOOKUP(B20,MMap!$F$13:$AU$36,MATCH('M_Input (WT)'!$C$4,MMap!$F$12:$AU$12,0),FALSE)</f>
        <v>-19.25</v>
      </c>
      <c r="J20" s="34">
        <f>MMap!O25</f>
        <v>5</v>
      </c>
      <c r="Q20" s="38" t="s">
        <v>871</v>
      </c>
    </row>
    <row r="21" spans="1:17">
      <c r="A21" s="63" t="str">
        <f t="shared" ref="A21:A31" si="1">LEFT(B21,22)&amp;" - NR"</f>
        <v>Streetlight - HPS 100W - NR</v>
      </c>
      <c r="B21" s="32" t="str">
        <f>MMap!F26</f>
        <v>Streetlight - HPS 100W - Tariff Relamp - to LED 42W - NR</v>
      </c>
      <c r="C21" s="33">
        <f>MMap!G26*VLOOKUP(B21,MMap!$F$13:$AU$36,MATCH('M_Input (WT)'!$C$4,MMap!$F$12:$AU$12,0),FALSE)</f>
        <v>84.924999999999983</v>
      </c>
      <c r="D21" s="63">
        <f>MMap!L26</f>
        <v>16.279069767441861</v>
      </c>
      <c r="E21" s="35">
        <f>MMap!H26*VLOOKUP(B21,MMap!$F$13:$AU$36,MATCH('M_Input (WT)'!$C$4,MMap!$F$12:$AU$12,0),FALSE)</f>
        <v>28.35202601226743</v>
      </c>
      <c r="F21" s="35">
        <f>MMap!M26*VLOOKUP(B21,MMap!$F$13:$AU$36,MATCH('M_Input (WT)'!$C$4,MMap!$F$12:$AU$12,0),FALSE)</f>
        <v>-14</v>
      </c>
      <c r="G21" s="36" t="s">
        <v>526</v>
      </c>
      <c r="I21" s="54">
        <f>MMap!N26*VLOOKUP(B21,MMap!$F$13:$AU$36,MATCH('M_Input (WT)'!$C$4,MMap!$F$12:$AU$12,0),FALSE)</f>
        <v>0</v>
      </c>
      <c r="J21" s="34">
        <f>MMap!O26</f>
        <v>0</v>
      </c>
      <c r="Q21" s="38" t="s">
        <v>871</v>
      </c>
    </row>
    <row r="22" spans="1:17">
      <c r="A22" s="63" t="str">
        <f t="shared" si="1"/>
        <v>Streetlight - HPS 100W - NR</v>
      </c>
      <c r="B22" s="32" t="str">
        <f>MMap!F27</f>
        <v>Streetlight - HPS 100W - Group Relamp - to LED 58W - NR</v>
      </c>
      <c r="C22" s="33">
        <f>MMap!G27*VLOOKUP(B22,MMap!$F$13:$AU$36,MATCH('M_Input (WT)'!$C$4,MMap!$F$12:$AU$12,0),FALSE)</f>
        <v>67.724999999999994</v>
      </c>
      <c r="D22" s="63">
        <f>MMap!L27</f>
        <v>16.279069767441861</v>
      </c>
      <c r="E22" s="35">
        <f>MMap!H27*VLOOKUP(B22,MMap!$F$13:$AU$36,MATCH('M_Input (WT)'!$C$4,MMap!$F$12:$AU$12,0),FALSE)</f>
        <v>28.35202601226743</v>
      </c>
      <c r="F22" s="35">
        <f>MMap!M27*VLOOKUP(B22,MMap!$F$13:$AU$36,MATCH('M_Input (WT)'!$C$4,MMap!$F$12:$AU$12,0),FALSE)</f>
        <v>0</v>
      </c>
      <c r="G22" s="36" t="s">
        <v>526</v>
      </c>
      <c r="I22" s="54">
        <f>MMap!N27*VLOOKUP(B22,MMap!$F$13:$AU$36,MATCH('M_Input (WT)'!$C$4,MMap!$F$12:$AU$12,0),FALSE)</f>
        <v>-19.25</v>
      </c>
      <c r="J22" s="34">
        <f>MMap!O27</f>
        <v>5</v>
      </c>
      <c r="Q22" s="38" t="s">
        <v>871</v>
      </c>
    </row>
    <row r="23" spans="1:17">
      <c r="A23" s="63" t="str">
        <f t="shared" si="1"/>
        <v>Streetlight - HPS 100W - NR</v>
      </c>
      <c r="B23" s="32" t="str">
        <f>MMap!F28</f>
        <v>Streetlight - HPS 100W - Tariff Relamp - to LED 58W - NR</v>
      </c>
      <c r="C23" s="33">
        <f>MMap!G28*VLOOKUP(B23,MMap!$F$13:$AU$36,MATCH('M_Input (WT)'!$C$4,MMap!$F$12:$AU$12,0),FALSE)</f>
        <v>67.724999999999994</v>
      </c>
      <c r="D23" s="63">
        <f>MMap!L28</f>
        <v>16.279069767441861</v>
      </c>
      <c r="E23" s="35">
        <f>MMap!H28*VLOOKUP(B23,MMap!$F$13:$AU$36,MATCH('M_Input (WT)'!$C$4,MMap!$F$12:$AU$12,0),FALSE)</f>
        <v>28.35202601226743</v>
      </c>
      <c r="F23" s="35">
        <f>MMap!M28*VLOOKUP(B23,MMap!$F$13:$AU$36,MATCH('M_Input (WT)'!$C$4,MMap!$F$12:$AU$12,0),FALSE)</f>
        <v>-14</v>
      </c>
      <c r="G23" s="36" t="s">
        <v>526</v>
      </c>
      <c r="I23" s="54">
        <f>MMap!N28*VLOOKUP(B23,MMap!$F$13:$AU$36,MATCH('M_Input (WT)'!$C$4,MMap!$F$12:$AU$12,0),FALSE)</f>
        <v>0</v>
      </c>
      <c r="J23" s="34">
        <f>MMap!O28</f>
        <v>0</v>
      </c>
      <c r="Q23" s="38" t="s">
        <v>871</v>
      </c>
    </row>
    <row r="24" spans="1:17">
      <c r="A24" s="63" t="str">
        <f t="shared" si="1"/>
        <v>Streetlight - MH 200W  - NR</v>
      </c>
      <c r="B24" s="32" t="str">
        <f>MMap!F29</f>
        <v>Streetlight - MH 200W - Group Relamp - to LED 135W - NR</v>
      </c>
      <c r="C24" s="33">
        <f>MMap!G29*VLOOKUP(B24,MMap!$F$13:$AU$36,MATCH('M_Input (WT)'!$C$4,MMap!$F$12:$AU$12,0),FALSE)</f>
        <v>204.25</v>
      </c>
      <c r="D24" s="63">
        <f>MMap!L29</f>
        <v>16.279069767441861</v>
      </c>
      <c r="E24" s="35">
        <f>MMap!H29*VLOOKUP(B24,MMap!$F$13:$AU$36,MATCH('M_Input (WT)'!$C$4,MMap!$F$12:$AU$12,0),FALSE)</f>
        <v>81.005788606478362</v>
      </c>
      <c r="F24" s="35">
        <f>MMap!M29*VLOOKUP(B24,MMap!$F$13:$AU$36,MATCH('M_Input (WT)'!$C$4,MMap!$F$12:$AU$12,0),FALSE)</f>
        <v>0</v>
      </c>
      <c r="G24" s="36" t="s">
        <v>526</v>
      </c>
      <c r="I24" s="54">
        <f>MMap!N29*VLOOKUP(B24,MMap!$F$13:$AU$36,MATCH('M_Input (WT)'!$C$4,MMap!$F$12:$AU$12,0),FALSE)</f>
        <v>-40</v>
      </c>
      <c r="J24" s="34">
        <f>MMap!O29</f>
        <v>5</v>
      </c>
      <c r="Q24" s="38" t="s">
        <v>871</v>
      </c>
    </row>
    <row r="25" spans="1:17">
      <c r="A25" s="63" t="str">
        <f t="shared" si="1"/>
        <v>Streetlight - MH 200W  - NR</v>
      </c>
      <c r="B25" s="32" t="str">
        <f>MMap!F30</f>
        <v>Streetlight - MH 200W - Tariff Relamp - to LED 135W - NR</v>
      </c>
      <c r="C25" s="33">
        <f>MMap!G30*VLOOKUP(B25,MMap!$F$13:$AU$36,MATCH('M_Input (WT)'!$C$4,MMap!$F$12:$AU$12,0),FALSE)</f>
        <v>204.25</v>
      </c>
      <c r="D25" s="63">
        <f>MMap!L30</f>
        <v>16.279069767441861</v>
      </c>
      <c r="E25" s="35">
        <f>MMap!H30*VLOOKUP(B25,MMap!$F$13:$AU$36,MATCH('M_Input (WT)'!$C$4,MMap!$F$12:$AU$12,0),FALSE)</f>
        <v>81.005788606478362</v>
      </c>
      <c r="F25" s="35">
        <f>MMap!M30*VLOOKUP(B25,MMap!$F$13:$AU$36,MATCH('M_Input (WT)'!$C$4,MMap!$F$12:$AU$12,0),FALSE)</f>
        <v>-28</v>
      </c>
      <c r="G25" s="36" t="s">
        <v>526</v>
      </c>
      <c r="I25" s="54">
        <f>MMap!N30*VLOOKUP(B25,MMap!$F$13:$AU$36,MATCH('M_Input (WT)'!$C$4,MMap!$F$12:$AU$12,0),FALSE)</f>
        <v>0</v>
      </c>
      <c r="J25" s="34">
        <f>MMap!O30</f>
        <v>0</v>
      </c>
      <c r="Q25" s="38" t="s">
        <v>871</v>
      </c>
    </row>
    <row r="26" spans="1:17">
      <c r="A26" s="63" t="str">
        <f t="shared" si="1"/>
        <v>Streetlight - HPS 250W - NR</v>
      </c>
      <c r="B26" s="32" t="str">
        <f>MMap!F31</f>
        <v>Streetlight - HPS 250W - Group Relamp - to LED 135W - NR</v>
      </c>
      <c r="C26" s="33">
        <f>MMap!G31*VLOOKUP(B26,MMap!$F$13:$AU$36,MATCH('M_Input (WT)'!$C$4,MMap!$F$12:$AU$12,0),FALSE)</f>
        <v>333.25</v>
      </c>
      <c r="D26" s="63">
        <f>MMap!L31</f>
        <v>16.279069767441861</v>
      </c>
      <c r="E26" s="35">
        <f>MMap!H31*VLOOKUP(B26,MMap!$F$13:$AU$36,MATCH('M_Input (WT)'!$C$4,MMap!$F$12:$AU$12,0),FALSE)</f>
        <v>81.005788606478362</v>
      </c>
      <c r="F26" s="35">
        <f>MMap!M31*VLOOKUP(B26,MMap!$F$13:$AU$36,MATCH('M_Input (WT)'!$C$4,MMap!$F$12:$AU$12,0),FALSE)</f>
        <v>0</v>
      </c>
      <c r="G26" s="36" t="s">
        <v>526</v>
      </c>
      <c r="I26" s="54">
        <f>MMap!N31*VLOOKUP(B26,MMap!$F$13:$AU$36,MATCH('M_Input (WT)'!$C$4,MMap!$F$12:$AU$12,0),FALSE)</f>
        <v>-40</v>
      </c>
      <c r="J26" s="34">
        <f>MMap!O31</f>
        <v>5</v>
      </c>
      <c r="Q26" s="38" t="s">
        <v>871</v>
      </c>
    </row>
    <row r="27" spans="1:17">
      <c r="A27" s="63" t="str">
        <f t="shared" si="1"/>
        <v>Streetlight - HPS 250W - NR</v>
      </c>
      <c r="B27" s="32" t="str">
        <f>MMap!F32</f>
        <v>Streetlight - HPS 250W - Tariff Relamp - to LED 135W - NR</v>
      </c>
      <c r="C27" s="33">
        <f>MMap!G32*VLOOKUP(B27,MMap!$F$13:$AU$36,MATCH('M_Input (WT)'!$C$4,MMap!$F$12:$AU$12,0),FALSE)</f>
        <v>333.25</v>
      </c>
      <c r="D27" s="63">
        <f>MMap!L32</f>
        <v>16.279069767441861</v>
      </c>
      <c r="E27" s="35">
        <f>MMap!H32*VLOOKUP(B27,MMap!$F$13:$AU$36,MATCH('M_Input (WT)'!$C$4,MMap!$F$12:$AU$12,0),FALSE)</f>
        <v>81.005788606478362</v>
      </c>
      <c r="F27" s="35">
        <f>MMap!M32*VLOOKUP(B27,MMap!$F$13:$AU$36,MATCH('M_Input (WT)'!$C$4,MMap!$F$12:$AU$12,0),FALSE)</f>
        <v>-28</v>
      </c>
      <c r="G27" s="36" t="s">
        <v>526</v>
      </c>
      <c r="I27" s="54">
        <f>MMap!N32*VLOOKUP(B27,MMap!$F$13:$AU$36,MATCH('M_Input (WT)'!$C$4,MMap!$F$12:$AU$12,0),FALSE)</f>
        <v>0</v>
      </c>
      <c r="J27" s="34">
        <f>MMap!O32</f>
        <v>0</v>
      </c>
      <c r="Q27" s="38" t="s">
        <v>871</v>
      </c>
    </row>
    <row r="28" spans="1:17">
      <c r="A28" s="63" t="str">
        <f t="shared" si="1"/>
        <v>Streetlight - MH 400W  - NR</v>
      </c>
      <c r="B28" s="32" t="str">
        <f>MMap!F33</f>
        <v>Streetlight - MH 400W - Group Relamp - to LED 180W - NR</v>
      </c>
      <c r="C28" s="33">
        <f>MMap!G33*VLOOKUP(B28,MMap!$F$13:$AU$36,MATCH('M_Input (WT)'!$C$4,MMap!$F$12:$AU$12,0),FALSE)</f>
        <v>597.70000000000005</v>
      </c>
      <c r="D28" s="63">
        <f>MMap!L33</f>
        <v>16.279069767441861</v>
      </c>
      <c r="E28" s="35">
        <f>MMap!H33*VLOOKUP(B28,MMap!$F$13:$AU$36,MATCH('M_Input (WT)'!$C$4,MMap!$F$12:$AU$12,0),FALSE)</f>
        <v>162.01157721295672</v>
      </c>
      <c r="F28" s="35">
        <f>MMap!M33*VLOOKUP(B28,MMap!$F$13:$AU$36,MATCH('M_Input (WT)'!$C$4,MMap!$F$12:$AU$12,0),FALSE)</f>
        <v>0</v>
      </c>
      <c r="G28" s="36" t="s">
        <v>526</v>
      </c>
      <c r="I28" s="54">
        <f>MMap!N33*VLOOKUP(B28,MMap!$F$13:$AU$36,MATCH('M_Input (WT)'!$C$4,MMap!$F$12:$AU$12,0),FALSE)</f>
        <v>-41.5</v>
      </c>
      <c r="J28" s="34">
        <f>MMap!O33</f>
        <v>4</v>
      </c>
      <c r="Q28" s="38" t="s">
        <v>871</v>
      </c>
    </row>
    <row r="29" spans="1:17">
      <c r="A29" s="63" t="str">
        <f t="shared" si="1"/>
        <v>Streetlight - MH 400W  - NR</v>
      </c>
      <c r="B29" s="32" t="str">
        <f>MMap!F34</f>
        <v>Streetlight - MH 400W - Tariff Relamp - to LED 180W - NR</v>
      </c>
      <c r="C29" s="33">
        <f>MMap!G34*VLOOKUP(B29,MMap!$F$13:$AU$36,MATCH('M_Input (WT)'!$C$4,MMap!$F$12:$AU$12,0),FALSE)</f>
        <v>597.70000000000005</v>
      </c>
      <c r="D29" s="63">
        <f>MMap!L34</f>
        <v>16.279069767441861</v>
      </c>
      <c r="E29" s="35">
        <f>MMap!H34*VLOOKUP(B29,MMap!$F$13:$AU$36,MATCH('M_Input (WT)'!$C$4,MMap!$F$12:$AU$12,0),FALSE)</f>
        <v>162.01157721295672</v>
      </c>
      <c r="F29" s="35">
        <f>MMap!M34*VLOOKUP(B29,MMap!$F$13:$AU$36,MATCH('M_Input (WT)'!$C$4,MMap!$F$12:$AU$12,0),FALSE)</f>
        <v>-28</v>
      </c>
      <c r="G29" s="36" t="s">
        <v>526</v>
      </c>
      <c r="I29" s="54">
        <f>MMap!N34*VLOOKUP(B29,MMap!$F$13:$AU$36,MATCH('M_Input (WT)'!$C$4,MMap!$F$12:$AU$12,0),FALSE)</f>
        <v>0</v>
      </c>
      <c r="J29" s="34">
        <f>MMap!O34</f>
        <v>0</v>
      </c>
      <c r="Q29" s="38" t="s">
        <v>871</v>
      </c>
    </row>
    <row r="30" spans="1:17">
      <c r="A30" s="63" t="str">
        <f t="shared" si="1"/>
        <v>Streetlight - MH 1000W - NR</v>
      </c>
      <c r="B30" s="32" t="str">
        <f>MMap!F35</f>
        <v>Streetlight - MH 1000W - Group Relamp - to LED 421W - NR</v>
      </c>
      <c r="C30" s="33">
        <f>MMap!G35*VLOOKUP(B30,MMap!$F$13:$AU$36,MATCH('M_Input (WT)'!$C$4,MMap!$F$12:$AU$12,0),FALSE)</f>
        <v>1459.85</v>
      </c>
      <c r="D30" s="63">
        <f>MMap!L35</f>
        <v>16.279069767441861</v>
      </c>
      <c r="E30" s="35">
        <f>MMap!H35*VLOOKUP(B30,MMap!$F$13:$AU$36,MATCH('M_Input (WT)'!$C$4,MMap!$F$12:$AU$12,0),FALSE)</f>
        <v>486.0347316388702</v>
      </c>
      <c r="F30" s="35">
        <f>MMap!M35*VLOOKUP(B30,MMap!$F$13:$AU$36,MATCH('M_Input (WT)'!$C$4,MMap!$F$12:$AU$12,0),FALSE)</f>
        <v>0</v>
      </c>
      <c r="G30" s="36" t="s">
        <v>526</v>
      </c>
      <c r="I30" s="54">
        <f>MMap!N35*VLOOKUP(B30,MMap!$F$13:$AU$36,MATCH('M_Input (WT)'!$C$4,MMap!$F$12:$AU$12,0),FALSE)</f>
        <v>-42.5</v>
      </c>
      <c r="J30" s="34">
        <f>MMap!O35</f>
        <v>4</v>
      </c>
      <c r="Q30" s="38" t="s">
        <v>871</v>
      </c>
    </row>
    <row r="31" spans="1:17">
      <c r="A31" s="63" t="str">
        <f t="shared" si="1"/>
        <v>Streetlight - MH 1000W - NR</v>
      </c>
      <c r="B31" s="32" t="str">
        <f>MMap!F36</f>
        <v>Streetlight - MH 1000W - Tariff Relamp - to LED 421W - NR</v>
      </c>
      <c r="C31" s="33">
        <f>MMap!G36*VLOOKUP(B31,MMap!$F$13:$AU$36,MATCH('M_Input (WT)'!$C$4,MMap!$F$12:$AU$12,0),FALSE)</f>
        <v>1459.85</v>
      </c>
      <c r="D31" s="63">
        <f>MMap!L36</f>
        <v>16.279069767441861</v>
      </c>
      <c r="E31" s="35">
        <f>MMap!H36*VLOOKUP(B31,MMap!$F$13:$AU$36,MATCH('M_Input (WT)'!$C$4,MMap!$F$12:$AU$12,0),FALSE)</f>
        <v>486.0347316388702</v>
      </c>
      <c r="F31" s="35">
        <f>MMap!M36*VLOOKUP(B31,MMap!$F$13:$AU$36,MATCH('M_Input (WT)'!$C$4,MMap!$F$12:$AU$12,0),FALSE)</f>
        <v>-28</v>
      </c>
      <c r="G31" s="36" t="s">
        <v>526</v>
      </c>
      <c r="I31" s="54">
        <f>MMap!N36*VLOOKUP(B31,MMap!$F$13:$AU$36,MATCH('M_Input (WT)'!$C$4,MMap!$F$12:$AU$12,0),FALSE)</f>
        <v>0</v>
      </c>
      <c r="J31" s="34">
        <f>MMap!O36</f>
        <v>0</v>
      </c>
      <c r="Q31" s="38" t="s">
        <v>871</v>
      </c>
    </row>
    <row r="34" spans="1:13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row>
    <row r="35" spans="1:131">
      <c r="A35" s="366" t="s">
        <v>535</v>
      </c>
      <c r="B35" s="367"/>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row>
    <row r="36" spans="1:131">
      <c r="A36" s="11" t="s">
        <v>536</v>
      </c>
      <c r="B36" s="11" t="s">
        <v>537</v>
      </c>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row>
    <row r="37" spans="1:131">
      <c r="A37" s="11" t="s">
        <v>538</v>
      </c>
      <c r="B37" s="11" t="s">
        <v>1008</v>
      </c>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row>
    <row r="38" spans="1:13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row>
    <row r="39" spans="1:131" ht="13.5" thickBot="1">
      <c r="A39" s="368" t="s">
        <v>539</v>
      </c>
      <c r="B39" s="369"/>
      <c r="C39" s="369"/>
      <c r="D39" s="369"/>
      <c r="E39" s="369"/>
      <c r="F39" s="369"/>
      <c r="G39" s="369"/>
      <c r="H39" s="369"/>
      <c r="I39" s="369"/>
      <c r="J39" s="369"/>
      <c r="K39" s="369"/>
      <c r="L39" s="369"/>
      <c r="M39" s="369"/>
      <c r="N39" s="369"/>
      <c r="O39" s="369"/>
      <c r="P39" s="369"/>
      <c r="Q39" s="369"/>
      <c r="R39" s="369"/>
      <c r="S39" s="369"/>
      <c r="T39" s="369"/>
      <c r="U39" s="369"/>
      <c r="V39" s="369"/>
      <c r="W39" s="369"/>
      <c r="X39" s="369"/>
      <c r="Y39" s="369"/>
      <c r="Z39" s="369"/>
      <c r="AA39" s="369"/>
      <c r="AB39" s="369"/>
      <c r="AC39" s="369"/>
      <c r="AD39" s="369"/>
      <c r="AE39" s="369"/>
      <c r="AF39" s="369"/>
      <c r="AG39" s="369"/>
      <c r="AH39" s="369"/>
      <c r="AI39" s="370"/>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row>
    <row r="40" spans="1:131">
      <c r="A40" s="11"/>
      <c r="B40" s="150" t="s">
        <v>540</v>
      </c>
      <c r="C40" s="151"/>
      <c r="D40" s="151" t="s">
        <v>540</v>
      </c>
      <c r="E40" s="152"/>
      <c r="F40" s="11"/>
      <c r="G40" s="150" t="s">
        <v>541</v>
      </c>
      <c r="H40" s="151"/>
      <c r="I40" s="151"/>
      <c r="J40" s="151"/>
      <c r="K40" s="151"/>
      <c r="L40" s="151"/>
      <c r="M40" s="151"/>
      <c r="N40" s="151"/>
      <c r="O40" s="152"/>
      <c r="P40" s="11"/>
      <c r="Q40" s="150" t="s">
        <v>542</v>
      </c>
      <c r="R40" s="151"/>
      <c r="S40" s="151"/>
      <c r="T40" s="151"/>
      <c r="U40" s="152"/>
      <c r="V40" s="11"/>
      <c r="W40" s="150" t="s">
        <v>543</v>
      </c>
      <c r="X40" s="152"/>
      <c r="Y40" s="11"/>
      <c r="Z40" s="150" t="s">
        <v>544</v>
      </c>
      <c r="AA40" s="151"/>
      <c r="AB40" s="152"/>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row>
    <row r="41" spans="1:131">
      <c r="A41" s="11"/>
      <c r="B41" s="148" t="s">
        <v>545</v>
      </c>
      <c r="C41" s="115" t="s">
        <v>546</v>
      </c>
      <c r="D41" s="115" t="s">
        <v>545</v>
      </c>
      <c r="E41" s="149" t="s">
        <v>546</v>
      </c>
      <c r="F41" s="11"/>
      <c r="G41" s="148" t="s">
        <v>547</v>
      </c>
      <c r="H41" s="115" t="s">
        <v>1002</v>
      </c>
      <c r="I41" s="115"/>
      <c r="J41" s="115"/>
      <c r="K41" s="115" t="s">
        <v>548</v>
      </c>
      <c r="L41" s="115"/>
      <c r="M41" s="115"/>
      <c r="N41" s="115"/>
      <c r="O41" s="149"/>
      <c r="P41" s="11"/>
      <c r="Q41" s="148"/>
      <c r="R41" s="115" t="s">
        <v>327</v>
      </c>
      <c r="S41" s="115" t="s">
        <v>549</v>
      </c>
      <c r="T41" s="115" t="s">
        <v>550</v>
      </c>
      <c r="U41" s="149" t="s">
        <v>551</v>
      </c>
      <c r="V41" s="11"/>
      <c r="W41" s="148" t="s">
        <v>552</v>
      </c>
      <c r="X41" s="149">
        <v>20</v>
      </c>
      <c r="Y41" s="11"/>
      <c r="Z41" s="148"/>
      <c r="AA41" s="115" t="s">
        <v>546</v>
      </c>
      <c r="AB41" s="149" t="s">
        <v>553</v>
      </c>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row>
    <row r="42" spans="1:131">
      <c r="A42" s="11"/>
      <c r="B42" s="148" t="s">
        <v>554</v>
      </c>
      <c r="C42" s="115" t="s">
        <v>555</v>
      </c>
      <c r="D42" s="115" t="s">
        <v>554</v>
      </c>
      <c r="E42" s="149" t="s">
        <v>555</v>
      </c>
      <c r="F42" s="11"/>
      <c r="G42" s="148" t="s">
        <v>556</v>
      </c>
      <c r="H42" s="115" t="s">
        <v>557</v>
      </c>
      <c r="I42" s="115"/>
      <c r="J42" s="115"/>
      <c r="K42" s="115" t="s">
        <v>558</v>
      </c>
      <c r="L42" s="115"/>
      <c r="M42" s="115"/>
      <c r="N42" s="115"/>
      <c r="O42" s="149"/>
      <c r="P42" s="11"/>
      <c r="Q42" s="148" t="s">
        <v>559</v>
      </c>
      <c r="R42" s="115">
        <v>6.8012888465852586E-2</v>
      </c>
      <c r="S42" s="115">
        <v>4.387844424080023E-2</v>
      </c>
      <c r="T42" s="115">
        <v>5.3289007766645871E-2</v>
      </c>
      <c r="U42" s="149">
        <v>5.447903102274565E-2</v>
      </c>
      <c r="V42" s="11"/>
      <c r="W42" s="148" t="s">
        <v>560</v>
      </c>
      <c r="X42" s="149">
        <v>2016</v>
      </c>
      <c r="Y42" s="11"/>
      <c r="Z42" s="148" t="s">
        <v>561</v>
      </c>
      <c r="AA42" s="115">
        <v>0.03</v>
      </c>
      <c r="AB42" s="149">
        <v>0.01</v>
      </c>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row>
    <row r="43" spans="1:131">
      <c r="A43" s="11"/>
      <c r="B43" s="148" t="s">
        <v>562</v>
      </c>
      <c r="C43" s="115" t="s">
        <v>563</v>
      </c>
      <c r="D43" s="115" t="s">
        <v>562</v>
      </c>
      <c r="E43" s="149" t="s">
        <v>563</v>
      </c>
      <c r="F43" s="11"/>
      <c r="G43" s="148" t="s">
        <v>564</v>
      </c>
      <c r="H43" s="115" t="s">
        <v>565</v>
      </c>
      <c r="I43" s="115"/>
      <c r="J43" s="115"/>
      <c r="K43" s="115" t="s">
        <v>566</v>
      </c>
      <c r="L43" s="115"/>
      <c r="M43" s="115"/>
      <c r="N43" s="115"/>
      <c r="O43" s="149"/>
      <c r="P43" s="11"/>
      <c r="Q43" s="148" t="s">
        <v>567</v>
      </c>
      <c r="R43" s="115">
        <v>12</v>
      </c>
      <c r="S43" s="115">
        <v>12</v>
      </c>
      <c r="T43" s="115">
        <v>1</v>
      </c>
      <c r="U43" s="149">
        <v>1</v>
      </c>
      <c r="V43" s="11"/>
      <c r="W43" s="148" t="s">
        <v>568</v>
      </c>
      <c r="X43" s="149">
        <v>2016</v>
      </c>
      <c r="Y43" s="11"/>
      <c r="Z43" s="148" t="s">
        <v>569</v>
      </c>
      <c r="AA43" s="115">
        <v>26</v>
      </c>
      <c r="AB43" s="149">
        <v>0</v>
      </c>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row>
    <row r="44" spans="1:131" ht="13.5" thickBot="1">
      <c r="A44" s="11"/>
      <c r="B44" s="163" t="s">
        <v>570</v>
      </c>
      <c r="C44" s="371" t="s">
        <v>563</v>
      </c>
      <c r="D44" s="371" t="s">
        <v>570</v>
      </c>
      <c r="E44" s="372" t="s">
        <v>563</v>
      </c>
      <c r="F44" s="11"/>
      <c r="G44" s="148" t="s">
        <v>571</v>
      </c>
      <c r="H44" s="115" t="s">
        <v>572</v>
      </c>
      <c r="I44" s="115"/>
      <c r="J44" s="115"/>
      <c r="K44" s="115" t="s">
        <v>558</v>
      </c>
      <c r="L44" s="115"/>
      <c r="M44" s="115"/>
      <c r="N44" s="115"/>
      <c r="O44" s="149"/>
      <c r="P44" s="11"/>
      <c r="Q44" s="148"/>
      <c r="R44" s="115" t="s">
        <v>327</v>
      </c>
      <c r="S44" s="115" t="s">
        <v>549</v>
      </c>
      <c r="T44" s="115" t="s">
        <v>550</v>
      </c>
      <c r="U44" s="149" t="s">
        <v>551</v>
      </c>
      <c r="V44" s="11"/>
      <c r="W44" s="148" t="s">
        <v>573</v>
      </c>
      <c r="X44" s="149">
        <v>2012</v>
      </c>
      <c r="Y44" s="11"/>
      <c r="Z44" s="148" t="s">
        <v>574</v>
      </c>
      <c r="AA44" s="115">
        <v>0.9</v>
      </c>
      <c r="AB44" s="149" t="s">
        <v>575</v>
      </c>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row>
    <row r="45" spans="1:131">
      <c r="A45" s="11"/>
      <c r="B45" s="11"/>
      <c r="C45" s="11"/>
      <c r="D45" s="11"/>
      <c r="E45" s="11"/>
      <c r="F45" s="11"/>
      <c r="G45" s="148" t="s">
        <v>576</v>
      </c>
      <c r="H45" s="115" t="s">
        <v>565</v>
      </c>
      <c r="I45" s="115"/>
      <c r="J45" s="115"/>
      <c r="K45" s="115"/>
      <c r="L45" s="115"/>
      <c r="M45" s="115"/>
      <c r="N45" s="115"/>
      <c r="O45" s="149"/>
      <c r="P45" s="11"/>
      <c r="Q45" s="148" t="s">
        <v>577</v>
      </c>
      <c r="R45" s="115">
        <v>0.35</v>
      </c>
      <c r="S45" s="115">
        <v>0.19500000000000001</v>
      </c>
      <c r="T45" s="115">
        <v>4.8749999999999988E-2</v>
      </c>
      <c r="U45" s="149">
        <v>0.40625</v>
      </c>
      <c r="V45" s="11"/>
      <c r="W45" s="148" t="s">
        <v>578</v>
      </c>
      <c r="X45" s="149">
        <v>0.04</v>
      </c>
      <c r="Y45" s="11"/>
      <c r="Z45" s="148" t="s">
        <v>579</v>
      </c>
      <c r="AA45" s="115">
        <v>5.5E-2</v>
      </c>
      <c r="AB45" s="149">
        <v>0</v>
      </c>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row>
    <row r="46" spans="1:131">
      <c r="A46" s="11"/>
      <c r="B46" s="11" t="s">
        <v>580</v>
      </c>
      <c r="C46" s="11" t="s">
        <v>546</v>
      </c>
      <c r="D46" s="11"/>
      <c r="E46" s="11"/>
      <c r="F46" s="11"/>
      <c r="G46" s="148" t="s">
        <v>581</v>
      </c>
      <c r="H46" s="115" t="s">
        <v>582</v>
      </c>
      <c r="I46" s="115"/>
      <c r="J46" s="115"/>
      <c r="K46" s="115" t="s">
        <v>583</v>
      </c>
      <c r="L46" s="115"/>
      <c r="M46" s="115"/>
      <c r="N46" s="115"/>
      <c r="O46" s="149"/>
      <c r="P46" s="11"/>
      <c r="Q46" s="148" t="s">
        <v>584</v>
      </c>
      <c r="R46" s="115">
        <v>1</v>
      </c>
      <c r="S46" s="115">
        <v>0</v>
      </c>
      <c r="T46" s="115">
        <v>0</v>
      </c>
      <c r="U46" s="149">
        <v>0</v>
      </c>
      <c r="V46" s="11"/>
      <c r="W46" s="148" t="s">
        <v>585</v>
      </c>
      <c r="X46" s="149">
        <v>0</v>
      </c>
      <c r="Y46" s="11"/>
      <c r="Z46" s="148" t="s">
        <v>586</v>
      </c>
      <c r="AA46" s="115">
        <v>31</v>
      </c>
      <c r="AB46" s="149">
        <v>0</v>
      </c>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row>
    <row r="47" spans="1:131">
      <c r="A47" s="11"/>
      <c r="B47" s="11" t="s">
        <v>587</v>
      </c>
      <c r="C47" s="11" t="s">
        <v>588</v>
      </c>
      <c r="D47" s="11"/>
      <c r="E47" s="11"/>
      <c r="F47" s="11"/>
      <c r="G47" s="148" t="s">
        <v>589</v>
      </c>
      <c r="H47" s="115" t="s">
        <v>583</v>
      </c>
      <c r="I47" s="115"/>
      <c r="J47" s="115"/>
      <c r="K47" s="115" t="s">
        <v>590</v>
      </c>
      <c r="L47" s="115"/>
      <c r="M47" s="115"/>
      <c r="N47" s="115"/>
      <c r="O47" s="149"/>
      <c r="P47" s="11"/>
      <c r="Q47" s="148" t="s">
        <v>591</v>
      </c>
      <c r="R47" s="115">
        <v>1</v>
      </c>
      <c r="S47" s="115">
        <v>0</v>
      </c>
      <c r="T47" s="115">
        <v>0</v>
      </c>
      <c r="U47" s="149">
        <v>0</v>
      </c>
      <c r="V47" s="11"/>
      <c r="W47" s="148" t="s">
        <v>592</v>
      </c>
      <c r="X47" s="149">
        <v>0.2</v>
      </c>
      <c r="Y47" s="11"/>
      <c r="Z47" s="148" t="s">
        <v>593</v>
      </c>
      <c r="AA47" s="115">
        <v>0.7</v>
      </c>
      <c r="AB47" s="149" t="s">
        <v>575</v>
      </c>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row>
    <row r="48" spans="1:131">
      <c r="A48" s="11"/>
      <c r="B48" s="11" t="s">
        <v>594</v>
      </c>
      <c r="C48" s="11" t="s">
        <v>595</v>
      </c>
      <c r="D48" s="11"/>
      <c r="E48" s="11"/>
      <c r="F48" s="11"/>
      <c r="G48" s="148" t="s">
        <v>596</v>
      </c>
      <c r="H48" s="115" t="s">
        <v>590</v>
      </c>
      <c r="I48" s="115"/>
      <c r="J48" s="115"/>
      <c r="K48" s="115" t="s">
        <v>597</v>
      </c>
      <c r="L48" s="115"/>
      <c r="M48" s="115"/>
      <c r="N48" s="115"/>
      <c r="O48" s="149"/>
      <c r="P48" s="11"/>
      <c r="Q48" s="148" t="s">
        <v>598</v>
      </c>
      <c r="R48" s="115"/>
      <c r="S48" s="115">
        <v>0.3</v>
      </c>
      <c r="T48" s="115">
        <v>7.4999999999999983E-2</v>
      </c>
      <c r="U48" s="149">
        <v>0.625</v>
      </c>
      <c r="V48" s="11"/>
      <c r="W48" s="148" t="s">
        <v>599</v>
      </c>
      <c r="X48" s="149">
        <v>0.1</v>
      </c>
      <c r="Y48" s="11"/>
      <c r="Z48" s="148" t="s">
        <v>600</v>
      </c>
      <c r="AA48" s="115">
        <v>0</v>
      </c>
      <c r="AB48" s="149">
        <v>0</v>
      </c>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row>
    <row r="49" spans="1:131" ht="13.5" thickBot="1">
      <c r="A49" s="11"/>
      <c r="B49" s="11" t="s">
        <v>601</v>
      </c>
      <c r="C49" s="11" t="s">
        <v>602</v>
      </c>
      <c r="D49" s="11"/>
      <c r="E49" s="11"/>
      <c r="F49" s="11"/>
      <c r="G49" s="163" t="s">
        <v>603</v>
      </c>
      <c r="H49" s="371" t="s">
        <v>597</v>
      </c>
      <c r="I49" s="371"/>
      <c r="J49" s="371"/>
      <c r="K49" s="371"/>
      <c r="L49" s="371"/>
      <c r="M49" s="371"/>
      <c r="N49" s="371"/>
      <c r="O49" s="372"/>
      <c r="P49" s="11"/>
      <c r="Q49" s="163" t="s">
        <v>604</v>
      </c>
      <c r="R49" s="371"/>
      <c r="S49" s="371">
        <v>20</v>
      </c>
      <c r="T49" s="371"/>
      <c r="U49" s="372"/>
      <c r="V49" s="11"/>
      <c r="W49" s="163" t="s">
        <v>605</v>
      </c>
      <c r="X49" s="372">
        <v>2018</v>
      </c>
      <c r="Y49" s="11"/>
      <c r="Z49" s="163" t="s">
        <v>606</v>
      </c>
      <c r="AA49" s="371">
        <v>0</v>
      </c>
      <c r="AB49" s="372">
        <v>0</v>
      </c>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row>
    <row r="50" spans="1:13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row>
    <row r="51" spans="1:13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row>
    <row r="52" spans="1:13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row>
    <row r="53" spans="1:13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row>
    <row r="54" spans="1:13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row>
    <row r="55" spans="1:13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row>
    <row r="56" spans="1:13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row>
    <row r="57" spans="1:131" ht="13.5" thickBot="1">
      <c r="A57" s="368" t="s">
        <v>607</v>
      </c>
      <c r="B57" s="370"/>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row>
    <row r="58" spans="1:131" ht="26.25" thickBot="1">
      <c r="A58" s="373" t="s">
        <v>291</v>
      </c>
      <c r="B58" s="374"/>
      <c r="C58" s="375" t="s">
        <v>292</v>
      </c>
      <c r="D58" s="376"/>
      <c r="E58" s="376"/>
      <c r="F58" s="376"/>
      <c r="G58" s="376"/>
      <c r="H58" s="376"/>
      <c r="I58" s="376"/>
      <c r="J58" s="376"/>
      <c r="K58" s="377"/>
      <c r="L58" s="375" t="s">
        <v>102</v>
      </c>
      <c r="M58" s="376"/>
      <c r="N58" s="376"/>
      <c r="O58" s="376"/>
      <c r="P58" s="376"/>
      <c r="Q58" s="377"/>
      <c r="R58" s="375" t="s">
        <v>293</v>
      </c>
      <c r="S58" s="376"/>
      <c r="T58" s="376"/>
      <c r="U58" s="377"/>
      <c r="V58" s="375" t="s">
        <v>294</v>
      </c>
      <c r="W58" s="376"/>
      <c r="X58" s="376"/>
      <c r="Y58" s="377"/>
      <c r="Z58" s="375" t="s">
        <v>295</v>
      </c>
      <c r="AA58" s="376"/>
      <c r="AB58" s="376"/>
      <c r="AC58" s="377"/>
      <c r="AD58" s="375" t="s">
        <v>296</v>
      </c>
      <c r="AE58" s="376"/>
      <c r="AF58" s="376"/>
      <c r="AG58" s="377"/>
      <c r="AH58" s="375" t="s">
        <v>297</v>
      </c>
      <c r="AI58" s="376"/>
      <c r="AJ58" s="376"/>
      <c r="AK58" s="376"/>
      <c r="AL58" s="377"/>
      <c r="AM58" s="375" t="s">
        <v>298</v>
      </c>
      <c r="AN58" s="376"/>
      <c r="AO58" s="376"/>
      <c r="AP58" s="376"/>
      <c r="AQ58" s="376"/>
      <c r="AR58" s="376"/>
      <c r="AS58" s="377"/>
      <c r="AT58" s="375" t="s">
        <v>299</v>
      </c>
      <c r="AU58" s="376"/>
      <c r="AV58" s="376"/>
      <c r="AW58" s="376"/>
      <c r="AX58" s="376"/>
      <c r="AY58" s="376"/>
      <c r="AZ58" s="377"/>
      <c r="BA58" s="375" t="s">
        <v>300</v>
      </c>
      <c r="BB58" s="376"/>
      <c r="BC58" s="376"/>
      <c r="BD58" s="376"/>
      <c r="BE58" s="376"/>
      <c r="BF58" s="377"/>
      <c r="BG58" s="375" t="s">
        <v>301</v>
      </c>
      <c r="BH58" s="377"/>
      <c r="BI58" s="375" t="s">
        <v>302</v>
      </c>
      <c r="BJ58" s="376"/>
      <c r="BK58" s="376"/>
      <c r="BL58" s="376"/>
      <c r="BM58" s="377"/>
      <c r="BN58" s="375" t="s">
        <v>303</v>
      </c>
      <c r="BO58" s="376"/>
      <c r="BP58" s="376"/>
      <c r="BQ58" s="376"/>
      <c r="BR58" s="376"/>
      <c r="BS58" s="376"/>
      <c r="BT58" s="376"/>
      <c r="BU58" s="376"/>
      <c r="BV58" s="376"/>
      <c r="BW58" s="376"/>
      <c r="BX58" s="376"/>
      <c r="BY58" s="376"/>
      <c r="BZ58" s="376"/>
      <c r="CA58" s="376"/>
      <c r="CB58" s="376"/>
      <c r="CC58" s="377"/>
      <c r="CD58" s="375" t="s">
        <v>304</v>
      </c>
      <c r="CE58" s="377"/>
      <c r="CF58" s="375" t="s">
        <v>305</v>
      </c>
      <c r="CG58" s="376"/>
      <c r="CH58" s="376"/>
      <c r="CI58" s="376"/>
      <c r="CJ58" s="376"/>
      <c r="CK58" s="377"/>
      <c r="CL58" s="378"/>
      <c r="CM58" s="375" t="s">
        <v>15</v>
      </c>
      <c r="CN58" s="376"/>
      <c r="CO58" s="376"/>
      <c r="CP58" s="377"/>
      <c r="CQ58" s="375" t="s">
        <v>306</v>
      </c>
      <c r="CR58" s="376"/>
      <c r="CS58" s="376"/>
      <c r="CT58" s="376"/>
      <c r="CU58" s="377"/>
      <c r="CV58" s="375" t="s">
        <v>307</v>
      </c>
      <c r="CW58" s="377"/>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row>
    <row r="59" spans="1:131" ht="127.5">
      <c r="A59" s="379" t="s">
        <v>308</v>
      </c>
      <c r="B59" s="380" t="s">
        <v>309</v>
      </c>
      <c r="C59" s="381" t="s">
        <v>8</v>
      </c>
      <c r="D59" s="381" t="s">
        <v>310</v>
      </c>
      <c r="E59" s="381" t="s">
        <v>311</v>
      </c>
      <c r="F59" s="381" t="s">
        <v>312</v>
      </c>
      <c r="G59" s="381" t="s">
        <v>313</v>
      </c>
      <c r="H59" s="381" t="s">
        <v>314</v>
      </c>
      <c r="I59" s="381" t="s">
        <v>315</v>
      </c>
      <c r="J59" s="381" t="s">
        <v>316</v>
      </c>
      <c r="K59" s="381" t="s">
        <v>317</v>
      </c>
      <c r="L59" s="381" t="s">
        <v>318</v>
      </c>
      <c r="M59" s="381" t="s">
        <v>319</v>
      </c>
      <c r="N59" s="381" t="s">
        <v>320</v>
      </c>
      <c r="O59" s="381" t="s">
        <v>321</v>
      </c>
      <c r="P59" s="381" t="s">
        <v>322</v>
      </c>
      <c r="Q59" s="381" t="s">
        <v>323</v>
      </c>
      <c r="R59" s="381" t="s">
        <v>324</v>
      </c>
      <c r="S59" s="381" t="s">
        <v>325</v>
      </c>
      <c r="T59" s="381" t="s">
        <v>326</v>
      </c>
      <c r="U59" s="381" t="s">
        <v>327</v>
      </c>
      <c r="V59" s="381" t="s">
        <v>324</v>
      </c>
      <c r="W59" s="381" t="s">
        <v>325</v>
      </c>
      <c r="X59" s="381" t="s">
        <v>326</v>
      </c>
      <c r="Y59" s="381" t="s">
        <v>327</v>
      </c>
      <c r="Z59" s="381" t="s">
        <v>324</v>
      </c>
      <c r="AA59" s="381" t="s">
        <v>325</v>
      </c>
      <c r="AB59" s="381" t="s">
        <v>326</v>
      </c>
      <c r="AC59" s="381" t="s">
        <v>327</v>
      </c>
      <c r="AD59" s="381" t="s">
        <v>324</v>
      </c>
      <c r="AE59" s="381" t="s">
        <v>325</v>
      </c>
      <c r="AF59" s="381" t="s">
        <v>326</v>
      </c>
      <c r="AG59" s="381" t="s">
        <v>327</v>
      </c>
      <c r="AH59" s="381" t="s">
        <v>324</v>
      </c>
      <c r="AI59" s="381" t="s">
        <v>325</v>
      </c>
      <c r="AJ59" s="381" t="s">
        <v>326</v>
      </c>
      <c r="AK59" s="381" t="s">
        <v>327</v>
      </c>
      <c r="AL59" s="381" t="s">
        <v>156</v>
      </c>
      <c r="AM59" s="381" t="s">
        <v>328</v>
      </c>
      <c r="AN59" s="381" t="s">
        <v>329</v>
      </c>
      <c r="AO59" s="381" t="s">
        <v>330</v>
      </c>
      <c r="AP59" s="381" t="s">
        <v>331</v>
      </c>
      <c r="AQ59" s="381" t="s">
        <v>332</v>
      </c>
      <c r="AR59" s="381" t="s">
        <v>333</v>
      </c>
      <c r="AS59" s="381" t="s">
        <v>334</v>
      </c>
      <c r="AT59" s="381" t="s">
        <v>335</v>
      </c>
      <c r="AU59" s="381" t="s">
        <v>336</v>
      </c>
      <c r="AV59" s="381" t="s">
        <v>337</v>
      </c>
      <c r="AW59" s="381" t="s">
        <v>338</v>
      </c>
      <c r="AX59" s="381" t="s">
        <v>339</v>
      </c>
      <c r="AY59" s="381" t="s">
        <v>340</v>
      </c>
      <c r="AZ59" s="381" t="s">
        <v>341</v>
      </c>
      <c r="BA59" s="381" t="s">
        <v>342</v>
      </c>
      <c r="BB59" s="381" t="s">
        <v>343</v>
      </c>
      <c r="BC59" s="381" t="s">
        <v>344</v>
      </c>
      <c r="BD59" s="381" t="s">
        <v>345</v>
      </c>
      <c r="BE59" s="381" t="s">
        <v>346</v>
      </c>
      <c r="BF59" s="381" t="s">
        <v>347</v>
      </c>
      <c r="BG59" s="381" t="s">
        <v>348</v>
      </c>
      <c r="BH59" s="381" t="s">
        <v>349</v>
      </c>
      <c r="BI59" s="381" t="s">
        <v>350</v>
      </c>
      <c r="BJ59" s="381" t="s">
        <v>351</v>
      </c>
      <c r="BK59" s="381" t="s">
        <v>352</v>
      </c>
      <c r="BL59" s="381" t="s">
        <v>353</v>
      </c>
      <c r="BM59" s="381" t="s">
        <v>354</v>
      </c>
      <c r="BN59" s="381" t="s">
        <v>355</v>
      </c>
      <c r="BO59" s="381" t="s">
        <v>356</v>
      </c>
      <c r="BP59" s="381" t="s">
        <v>357</v>
      </c>
      <c r="BQ59" s="381" t="s">
        <v>358</v>
      </c>
      <c r="BR59" s="381" t="s">
        <v>359</v>
      </c>
      <c r="BS59" s="381" t="s">
        <v>360</v>
      </c>
      <c r="BT59" s="381" t="s">
        <v>361</v>
      </c>
      <c r="BU59" s="381" t="s">
        <v>362</v>
      </c>
      <c r="BV59" s="381" t="s">
        <v>363</v>
      </c>
      <c r="BW59" s="381" t="s">
        <v>364</v>
      </c>
      <c r="BX59" s="381" t="s">
        <v>365</v>
      </c>
      <c r="BY59" s="381" t="s">
        <v>366</v>
      </c>
      <c r="BZ59" s="381" t="s">
        <v>367</v>
      </c>
      <c r="CA59" s="381" t="s">
        <v>368</v>
      </c>
      <c r="CB59" s="381" t="s">
        <v>369</v>
      </c>
      <c r="CC59" s="381" t="s">
        <v>370</v>
      </c>
      <c r="CD59" s="381" t="s">
        <v>371</v>
      </c>
      <c r="CE59" s="381" t="s">
        <v>372</v>
      </c>
      <c r="CF59" s="381" t="s">
        <v>373</v>
      </c>
      <c r="CG59" s="381" t="s">
        <v>374</v>
      </c>
      <c r="CH59" s="381" t="s">
        <v>375</v>
      </c>
      <c r="CI59" s="381" t="s">
        <v>608</v>
      </c>
      <c r="CJ59" s="381" t="s">
        <v>609</v>
      </c>
      <c r="CK59" s="381" t="s">
        <v>610</v>
      </c>
      <c r="CL59" s="381"/>
      <c r="CM59" s="381" t="s">
        <v>376</v>
      </c>
      <c r="CN59" s="381" t="s">
        <v>377</v>
      </c>
      <c r="CO59" s="381" t="s">
        <v>378</v>
      </c>
      <c r="CP59" s="381" t="s">
        <v>379</v>
      </c>
      <c r="CQ59" s="381" t="s">
        <v>380</v>
      </c>
      <c r="CR59" s="381" t="s">
        <v>381</v>
      </c>
      <c r="CS59" s="381" t="s">
        <v>382</v>
      </c>
      <c r="CT59" s="381" t="s">
        <v>383</v>
      </c>
      <c r="CU59" s="381" t="s">
        <v>384</v>
      </c>
      <c r="CV59" s="381" t="s">
        <v>385</v>
      </c>
      <c r="CW59" s="382" t="s">
        <v>386</v>
      </c>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row>
    <row r="60" spans="1:131">
      <c r="A60" s="11" t="s">
        <v>664</v>
      </c>
      <c r="B60" s="11" t="s">
        <v>527</v>
      </c>
      <c r="C60" s="32">
        <v>16.279069767441861</v>
      </c>
      <c r="D60" s="32">
        <v>84.924999999999983</v>
      </c>
      <c r="E60" s="32">
        <v>0</v>
      </c>
      <c r="F60" s="32">
        <v>-2.1479739877325699</v>
      </c>
      <c r="G60" s="32">
        <v>0</v>
      </c>
      <c r="H60" s="32">
        <v>-37.995719934850655</v>
      </c>
      <c r="I60" s="32" t="s">
        <v>526</v>
      </c>
      <c r="J60" s="32"/>
      <c r="K60" s="32"/>
      <c r="L60" s="32">
        <v>96.087446841016259</v>
      </c>
      <c r="M60" s="32">
        <v>2.2459763698484694E-2</v>
      </c>
      <c r="N60" s="32">
        <v>2.130907371772741E-2</v>
      </c>
      <c r="O60" s="32">
        <v>0</v>
      </c>
      <c r="P60" s="32">
        <v>0</v>
      </c>
      <c r="Q60" s="32">
        <v>0</v>
      </c>
      <c r="R60" s="32">
        <v>-0.4283347068690555</v>
      </c>
      <c r="S60" s="32">
        <v>-0.10605175266784705</v>
      </c>
      <c r="T60" s="32">
        <v>-0.88476309736183789</v>
      </c>
      <c r="U60" s="32">
        <v>-1.2605324003115399</v>
      </c>
      <c r="V60" s="32" t="s">
        <v>611</v>
      </c>
      <c r="W60" s="32" t="s">
        <v>611</v>
      </c>
      <c r="X60" s="32" t="s">
        <v>611</v>
      </c>
      <c r="Y60" s="32" t="s">
        <v>611</v>
      </c>
      <c r="Z60" s="32">
        <v>0</v>
      </c>
      <c r="AA60" s="32">
        <v>0</v>
      </c>
      <c r="AB60" s="32">
        <v>0</v>
      </c>
      <c r="AC60" s="32">
        <v>0</v>
      </c>
      <c r="AD60" s="32">
        <v>0</v>
      </c>
      <c r="AE60" s="32">
        <v>0</v>
      </c>
      <c r="AF60" s="32">
        <v>0</v>
      </c>
      <c r="AG60" s="32">
        <v>-37.995719934850655</v>
      </c>
      <c r="AH60" s="32">
        <v>-0.4283347068690555</v>
      </c>
      <c r="AI60" s="32">
        <v>-0.10605175266784705</v>
      </c>
      <c r="AJ60" s="32">
        <v>-0.88476309736183789</v>
      </c>
      <c r="AK60" s="32">
        <v>-39.256252335162195</v>
      </c>
      <c r="AL60" s="32">
        <v>-40.675401892060933</v>
      </c>
      <c r="AM60" s="32">
        <v>46.085676927482965</v>
      </c>
      <c r="AN60" s="32">
        <v>7.9361234756248979</v>
      </c>
      <c r="AO60" s="32">
        <v>5.4021800403107862</v>
      </c>
      <c r="AP60" s="32">
        <v>0</v>
      </c>
      <c r="AQ60" s="32">
        <v>59.42398044341865</v>
      </c>
      <c r="AR60" s="32">
        <v>-0.4283347068690555</v>
      </c>
      <c r="AS60" s="383">
        <v>9999</v>
      </c>
      <c r="AT60" s="32">
        <v>46.085676927482965</v>
      </c>
      <c r="AU60" s="32">
        <v>8.9775152439195693</v>
      </c>
      <c r="AV60" s="32">
        <v>5.5063192171402537</v>
      </c>
      <c r="AW60" s="32">
        <v>0</v>
      </c>
      <c r="AX60" s="32">
        <v>60.569511388542786</v>
      </c>
      <c r="AY60" s="32">
        <v>-0.10605175266784705</v>
      </c>
      <c r="AZ60" s="383">
        <v>9999</v>
      </c>
      <c r="BA60" s="32">
        <v>46.085676927482965</v>
      </c>
      <c r="BB60" s="32">
        <v>16.913638719544466</v>
      </c>
      <c r="BC60" s="32">
        <v>6.2999315647027432</v>
      </c>
      <c r="BD60" s="32">
        <v>0</v>
      </c>
      <c r="BE60" s="32">
        <v>69.299247211730176</v>
      </c>
      <c r="BF60" s="32">
        <v>-0.53438645953690256</v>
      </c>
      <c r="BG60" s="32">
        <v>-18.185686906921656</v>
      </c>
      <c r="BH60" s="383">
        <v>9999</v>
      </c>
      <c r="BI60" s="32">
        <v>-0.32800972961716296</v>
      </c>
      <c r="BJ60" s="32">
        <v>-8.1212206622894662E-2</v>
      </c>
      <c r="BK60" s="32">
        <v>-0.67753301258779219</v>
      </c>
      <c r="BL60" s="32">
        <v>-30.061614218378235</v>
      </c>
      <c r="BM60" s="32">
        <v>-31.148369167206084</v>
      </c>
      <c r="BN60" s="32">
        <v>46.085676927482965</v>
      </c>
      <c r="BO60" s="32">
        <v>0</v>
      </c>
      <c r="BP60" s="32">
        <v>16.913638719544466</v>
      </c>
      <c r="BQ60" s="32">
        <v>0</v>
      </c>
      <c r="BR60" s="32">
        <v>0</v>
      </c>
      <c r="BS60" s="32">
        <v>0</v>
      </c>
      <c r="BT60" s="32">
        <v>0</v>
      </c>
      <c r="BU60" s="32">
        <v>0</v>
      </c>
      <c r="BV60" s="32">
        <v>0</v>
      </c>
      <c r="BW60" s="32">
        <v>6.2999315647027432</v>
      </c>
      <c r="BX60" s="32">
        <v>-2.6796819572102804</v>
      </c>
      <c r="BY60" s="32"/>
      <c r="BZ60" s="32">
        <v>0</v>
      </c>
      <c r="CA60" s="32">
        <v>-37.995719934850655</v>
      </c>
      <c r="CB60" s="32">
        <v>69.299247211730176</v>
      </c>
      <c r="CC60" s="32">
        <v>-40.675401892060933</v>
      </c>
      <c r="CD60" s="383">
        <v>9999</v>
      </c>
      <c r="CE60" s="32">
        <v>-48.924834137887686</v>
      </c>
      <c r="CF60" s="32">
        <v>0.91283496984754209</v>
      </c>
      <c r="CG60" s="32">
        <v>0</v>
      </c>
      <c r="CH60" s="32">
        <v>0.91283496984754209</v>
      </c>
      <c r="CI60" s="32">
        <v>4.5641537249482722E-2</v>
      </c>
      <c r="CJ60" s="32">
        <v>0</v>
      </c>
      <c r="CK60" s="32">
        <v>4.5641537249482722E-2</v>
      </c>
      <c r="CL60" s="32"/>
      <c r="CM60" s="32">
        <v>0</v>
      </c>
      <c r="CN60" s="32"/>
      <c r="CO60" s="32">
        <v>0</v>
      </c>
      <c r="CP60" s="32">
        <v>0</v>
      </c>
      <c r="CQ60" s="32">
        <v>0</v>
      </c>
      <c r="CR60" s="32">
        <v>0</v>
      </c>
      <c r="CS60" s="32">
        <v>0</v>
      </c>
      <c r="CT60" s="32">
        <v>0</v>
      </c>
      <c r="CU60" s="32">
        <v>-0.88476309736183789</v>
      </c>
      <c r="CV60" s="32">
        <v>9999</v>
      </c>
      <c r="CW60" s="383">
        <v>9999</v>
      </c>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row>
    <row r="61" spans="1:131">
      <c r="A61" s="11" t="s">
        <v>664</v>
      </c>
      <c r="B61" s="11" t="s">
        <v>528</v>
      </c>
      <c r="C61" s="32">
        <v>16.279069767441861</v>
      </c>
      <c r="D61" s="32">
        <v>84.924999999999983</v>
      </c>
      <c r="E61" s="32">
        <v>0</v>
      </c>
      <c r="F61" s="32">
        <v>-2.1479739877325699</v>
      </c>
      <c r="G61" s="32">
        <v>-14</v>
      </c>
      <c r="H61" s="32">
        <v>0</v>
      </c>
      <c r="I61" s="32" t="s">
        <v>526</v>
      </c>
      <c r="J61" s="32"/>
      <c r="K61" s="32"/>
      <c r="L61" s="32">
        <v>96.087446841016259</v>
      </c>
      <c r="M61" s="32">
        <v>2.2459763698484694E-2</v>
      </c>
      <c r="N61" s="32">
        <v>2.130907371772741E-2</v>
      </c>
      <c r="O61" s="32">
        <v>0</v>
      </c>
      <c r="P61" s="32">
        <v>0</v>
      </c>
      <c r="Q61" s="32">
        <v>0</v>
      </c>
      <c r="R61" s="32">
        <v>-0.4283347068690555</v>
      </c>
      <c r="S61" s="32">
        <v>-0.10605175266784705</v>
      </c>
      <c r="T61" s="32">
        <v>-0.88476309736183789</v>
      </c>
      <c r="U61" s="32">
        <v>-1.2605324003115399</v>
      </c>
      <c r="V61" s="32" t="s">
        <v>611</v>
      </c>
      <c r="W61" s="32" t="s">
        <v>611</v>
      </c>
      <c r="X61" s="32" t="s">
        <v>611</v>
      </c>
      <c r="Y61" s="32" t="s">
        <v>611</v>
      </c>
      <c r="Z61" s="32">
        <v>0</v>
      </c>
      <c r="AA61" s="32">
        <v>0</v>
      </c>
      <c r="AB61" s="32">
        <v>0</v>
      </c>
      <c r="AC61" s="32">
        <v>-190.26456882954764</v>
      </c>
      <c r="AD61" s="32">
        <v>0</v>
      </c>
      <c r="AE61" s="32">
        <v>0</v>
      </c>
      <c r="AF61" s="32">
        <v>0</v>
      </c>
      <c r="AG61" s="32">
        <v>0</v>
      </c>
      <c r="AH61" s="32">
        <v>-0.4283347068690555</v>
      </c>
      <c r="AI61" s="32">
        <v>-0.10605175266784705</v>
      </c>
      <c r="AJ61" s="32">
        <v>-0.88476309736183789</v>
      </c>
      <c r="AK61" s="32">
        <v>-191.52510122985919</v>
      </c>
      <c r="AL61" s="32">
        <v>-192.94425078675792</v>
      </c>
      <c r="AM61" s="32">
        <v>46.085676927482965</v>
      </c>
      <c r="AN61" s="32">
        <v>7.9361234756248979</v>
      </c>
      <c r="AO61" s="32">
        <v>5.4021800403107862</v>
      </c>
      <c r="AP61" s="32">
        <v>0</v>
      </c>
      <c r="AQ61" s="32">
        <v>59.42398044341865</v>
      </c>
      <c r="AR61" s="32">
        <v>-0.4283347068690555</v>
      </c>
      <c r="AS61" s="383">
        <v>9999</v>
      </c>
      <c r="AT61" s="32">
        <v>46.085676927482965</v>
      </c>
      <c r="AU61" s="32">
        <v>8.9775152439195693</v>
      </c>
      <c r="AV61" s="32">
        <v>5.5063192171402537</v>
      </c>
      <c r="AW61" s="32">
        <v>0</v>
      </c>
      <c r="AX61" s="32">
        <v>60.569511388542786</v>
      </c>
      <c r="AY61" s="32">
        <v>-0.10605175266784705</v>
      </c>
      <c r="AZ61" s="383">
        <v>9999</v>
      </c>
      <c r="BA61" s="32">
        <v>46.085676927482965</v>
      </c>
      <c r="BB61" s="32">
        <v>16.913638719544466</v>
      </c>
      <c r="BC61" s="32">
        <v>6.2999315647027432</v>
      </c>
      <c r="BD61" s="32">
        <v>0</v>
      </c>
      <c r="BE61" s="32">
        <v>69.299247211730176</v>
      </c>
      <c r="BF61" s="32">
        <v>-0.53438645953690256</v>
      </c>
      <c r="BG61" s="32">
        <v>-18.185686906921656</v>
      </c>
      <c r="BH61" s="383">
        <v>9999</v>
      </c>
      <c r="BI61" s="32">
        <v>-0.32800972961716296</v>
      </c>
      <c r="BJ61" s="32">
        <v>-8.1212206622894662E-2</v>
      </c>
      <c r="BK61" s="32">
        <v>-0.67753301258779219</v>
      </c>
      <c r="BL61" s="32">
        <v>-146.66590323373205</v>
      </c>
      <c r="BM61" s="32">
        <v>-147.75265818255988</v>
      </c>
      <c r="BN61" s="32">
        <v>46.085676927482965</v>
      </c>
      <c r="BO61" s="32">
        <v>0</v>
      </c>
      <c r="BP61" s="32">
        <v>16.913638719544466</v>
      </c>
      <c r="BQ61" s="32">
        <v>0</v>
      </c>
      <c r="BR61" s="32">
        <v>0</v>
      </c>
      <c r="BS61" s="32">
        <v>0</v>
      </c>
      <c r="BT61" s="32">
        <v>0</v>
      </c>
      <c r="BU61" s="32">
        <v>0</v>
      </c>
      <c r="BV61" s="32">
        <v>0</v>
      </c>
      <c r="BW61" s="32">
        <v>6.2999315647027432</v>
      </c>
      <c r="BX61" s="32">
        <v>-2.6796819572102804</v>
      </c>
      <c r="BY61" s="32"/>
      <c r="BZ61" s="32">
        <v>-190.26456882954764</v>
      </c>
      <c r="CA61" s="32">
        <v>0</v>
      </c>
      <c r="CB61" s="32">
        <v>69.299247211730176</v>
      </c>
      <c r="CC61" s="32">
        <v>-192.94425078675792</v>
      </c>
      <c r="CD61" s="383">
        <v>9999</v>
      </c>
      <c r="CE61" s="32">
        <v>-165.52912315324153</v>
      </c>
      <c r="CF61" s="32">
        <v>0.91283496984754209</v>
      </c>
      <c r="CG61" s="32">
        <v>0</v>
      </c>
      <c r="CH61" s="32">
        <v>0.91283496984754209</v>
      </c>
      <c r="CI61" s="32">
        <v>4.5641537249482722E-2</v>
      </c>
      <c r="CJ61" s="32">
        <v>0</v>
      </c>
      <c r="CK61" s="32">
        <v>4.5641537249482722E-2</v>
      </c>
      <c r="CL61" s="32"/>
      <c r="CM61" s="32">
        <v>0</v>
      </c>
      <c r="CN61" s="32"/>
      <c r="CO61" s="32">
        <v>0</v>
      </c>
      <c r="CP61" s="32">
        <v>0</v>
      </c>
      <c r="CQ61" s="32">
        <v>0</v>
      </c>
      <c r="CR61" s="32">
        <v>0</v>
      </c>
      <c r="CS61" s="32">
        <v>0</v>
      </c>
      <c r="CT61" s="32">
        <v>0</v>
      </c>
      <c r="CU61" s="32">
        <v>-0.88476309736183789</v>
      </c>
      <c r="CV61" s="32">
        <v>9999</v>
      </c>
      <c r="CW61" s="383">
        <v>9999</v>
      </c>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row>
    <row r="62" spans="1:131">
      <c r="A62" s="11" t="s">
        <v>664</v>
      </c>
      <c r="B62" s="11" t="s">
        <v>529</v>
      </c>
      <c r="C62" s="32">
        <v>16.279069767441861</v>
      </c>
      <c r="D62" s="32">
        <v>67.724999999999994</v>
      </c>
      <c r="E62" s="32">
        <v>0</v>
      </c>
      <c r="F62" s="32">
        <v>-2.1479739877325699</v>
      </c>
      <c r="G62" s="32">
        <v>0</v>
      </c>
      <c r="H62" s="32">
        <v>-37.995719934850655</v>
      </c>
      <c r="I62" s="32" t="s">
        <v>526</v>
      </c>
      <c r="J62" s="32"/>
      <c r="K62" s="32"/>
      <c r="L62" s="32">
        <v>76.626698113721829</v>
      </c>
      <c r="M62" s="32">
        <v>1.791095079752577E-2</v>
      </c>
      <c r="N62" s="32">
        <v>1.6993311952111734E-2</v>
      </c>
      <c r="O62" s="32">
        <v>0</v>
      </c>
      <c r="P62" s="32">
        <v>0</v>
      </c>
      <c r="Q62" s="32">
        <v>0</v>
      </c>
      <c r="R62" s="32">
        <v>-0.4283347068690555</v>
      </c>
      <c r="S62" s="32">
        <v>-0.10605175266784705</v>
      </c>
      <c r="T62" s="32">
        <v>-0.88476309736183789</v>
      </c>
      <c r="U62" s="32">
        <v>-1.2605324003115399</v>
      </c>
      <c r="V62" s="32" t="s">
        <v>611</v>
      </c>
      <c r="W62" s="32" t="s">
        <v>611</v>
      </c>
      <c r="X62" s="32" t="s">
        <v>611</v>
      </c>
      <c r="Y62" s="32" t="s">
        <v>611</v>
      </c>
      <c r="Z62" s="32">
        <v>0</v>
      </c>
      <c r="AA62" s="32">
        <v>0</v>
      </c>
      <c r="AB62" s="32">
        <v>0</v>
      </c>
      <c r="AC62" s="32">
        <v>0</v>
      </c>
      <c r="AD62" s="32">
        <v>0</v>
      </c>
      <c r="AE62" s="32">
        <v>0</v>
      </c>
      <c r="AF62" s="32">
        <v>0</v>
      </c>
      <c r="AG62" s="32">
        <v>-37.995719934850655</v>
      </c>
      <c r="AH62" s="32">
        <v>-0.4283347068690555</v>
      </c>
      <c r="AI62" s="32">
        <v>-0.10605175266784705</v>
      </c>
      <c r="AJ62" s="32">
        <v>-0.88476309736183789</v>
      </c>
      <c r="AK62" s="32">
        <v>-39.256252335162195</v>
      </c>
      <c r="AL62" s="32">
        <v>-40.675401892060933</v>
      </c>
      <c r="AM62" s="32">
        <v>36.751868942169999</v>
      </c>
      <c r="AN62" s="32">
        <v>6.3288073286628945</v>
      </c>
      <c r="AO62" s="32">
        <v>4.3080676270832896</v>
      </c>
      <c r="AP62" s="32">
        <v>0</v>
      </c>
      <c r="AQ62" s="32">
        <v>47.388743897916186</v>
      </c>
      <c r="AR62" s="32">
        <v>-0.4283347068690555</v>
      </c>
      <c r="AS62" s="383">
        <v>9999</v>
      </c>
      <c r="AT62" s="32">
        <v>36.751868942169999</v>
      </c>
      <c r="AU62" s="32">
        <v>7.1592843084421878</v>
      </c>
      <c r="AV62" s="32">
        <v>4.3911153250612189</v>
      </c>
      <c r="AW62" s="32">
        <v>0</v>
      </c>
      <c r="AX62" s="32">
        <v>48.302268575673409</v>
      </c>
      <c r="AY62" s="32">
        <v>-0.10605175266784705</v>
      </c>
      <c r="AZ62" s="383">
        <v>9999</v>
      </c>
      <c r="BA62" s="32">
        <v>36.751868942169999</v>
      </c>
      <c r="BB62" s="32">
        <v>13.488091637105082</v>
      </c>
      <c r="BC62" s="32">
        <v>5.0239960579275085</v>
      </c>
      <c r="BD62" s="32">
        <v>0</v>
      </c>
      <c r="BE62" s="32">
        <v>55.263956637202597</v>
      </c>
      <c r="BF62" s="32">
        <v>-0.53438645953690256</v>
      </c>
      <c r="BG62" s="32">
        <v>-18.289616287554068</v>
      </c>
      <c r="BH62" s="383">
        <v>9999</v>
      </c>
      <c r="BI62" s="32">
        <v>-0.4113137879326329</v>
      </c>
      <c r="BJ62" s="32">
        <v>-0.1018375289398203</v>
      </c>
      <c r="BK62" s="32">
        <v>-0.84960488880056495</v>
      </c>
      <c r="BL62" s="32">
        <v>-37.696309892886994</v>
      </c>
      <c r="BM62" s="32">
        <v>-39.05906609856001</v>
      </c>
      <c r="BN62" s="32">
        <v>36.751868942169999</v>
      </c>
      <c r="BO62" s="32">
        <v>0</v>
      </c>
      <c r="BP62" s="32">
        <v>13.488091637105082</v>
      </c>
      <c r="BQ62" s="32">
        <v>0</v>
      </c>
      <c r="BR62" s="32">
        <v>0</v>
      </c>
      <c r="BS62" s="32">
        <v>0</v>
      </c>
      <c r="BT62" s="32">
        <v>0</v>
      </c>
      <c r="BU62" s="32">
        <v>0</v>
      </c>
      <c r="BV62" s="32">
        <v>0</v>
      </c>
      <c r="BW62" s="32">
        <v>5.0239960579275085</v>
      </c>
      <c r="BX62" s="32">
        <v>-2.6796819572102804</v>
      </c>
      <c r="BY62" s="32"/>
      <c r="BZ62" s="32">
        <v>0</v>
      </c>
      <c r="CA62" s="32">
        <v>-37.995719934850655</v>
      </c>
      <c r="CB62" s="32">
        <v>55.26395663720259</v>
      </c>
      <c r="CC62" s="32">
        <v>-40.675401892060933</v>
      </c>
      <c r="CD62" s="383">
        <v>9999</v>
      </c>
      <c r="CE62" s="32">
        <v>-56.835531069241625</v>
      </c>
      <c r="CF62" s="32">
        <v>0.72795700127082397</v>
      </c>
      <c r="CG62" s="32">
        <v>0</v>
      </c>
      <c r="CH62" s="32">
        <v>0.72795700127082397</v>
      </c>
      <c r="CI62" s="32">
        <v>3.6397681604017865E-2</v>
      </c>
      <c r="CJ62" s="32">
        <v>0</v>
      </c>
      <c r="CK62" s="32">
        <v>3.6397681604017865E-2</v>
      </c>
      <c r="CL62" s="32"/>
      <c r="CM62" s="32">
        <v>0</v>
      </c>
      <c r="CN62" s="32"/>
      <c r="CO62" s="32">
        <v>0</v>
      </c>
      <c r="CP62" s="32">
        <v>0</v>
      </c>
      <c r="CQ62" s="32">
        <v>0</v>
      </c>
      <c r="CR62" s="32">
        <v>0</v>
      </c>
      <c r="CS62" s="32">
        <v>0</v>
      </c>
      <c r="CT62" s="32">
        <v>0</v>
      </c>
      <c r="CU62" s="32">
        <v>-0.88476309736183789</v>
      </c>
      <c r="CV62" s="32">
        <v>9999</v>
      </c>
      <c r="CW62" s="383">
        <v>9999</v>
      </c>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row>
    <row r="63" spans="1:131">
      <c r="A63" s="11" t="s">
        <v>664</v>
      </c>
      <c r="B63" s="11" t="s">
        <v>530</v>
      </c>
      <c r="C63" s="32">
        <v>16.279069767441861</v>
      </c>
      <c r="D63" s="32">
        <v>67.724999999999994</v>
      </c>
      <c r="E63" s="32">
        <v>0</v>
      </c>
      <c r="F63" s="32">
        <v>-2.1479739877325699</v>
      </c>
      <c r="G63" s="32">
        <v>-14</v>
      </c>
      <c r="H63" s="32">
        <v>0</v>
      </c>
      <c r="I63" s="32" t="s">
        <v>526</v>
      </c>
      <c r="J63" s="32"/>
      <c r="K63" s="32"/>
      <c r="L63" s="32">
        <v>76.626698113721829</v>
      </c>
      <c r="M63" s="32">
        <v>1.791095079752577E-2</v>
      </c>
      <c r="N63" s="32">
        <v>1.6993311952111734E-2</v>
      </c>
      <c r="O63" s="32">
        <v>0</v>
      </c>
      <c r="P63" s="32">
        <v>0</v>
      </c>
      <c r="Q63" s="32">
        <v>0</v>
      </c>
      <c r="R63" s="32">
        <v>-0.4283347068690555</v>
      </c>
      <c r="S63" s="32">
        <v>-0.10605175266784705</v>
      </c>
      <c r="T63" s="32">
        <v>-0.88476309736183789</v>
      </c>
      <c r="U63" s="32">
        <v>-1.2605324003115399</v>
      </c>
      <c r="V63" s="32" t="s">
        <v>611</v>
      </c>
      <c r="W63" s="32" t="s">
        <v>611</v>
      </c>
      <c r="X63" s="32" t="s">
        <v>611</v>
      </c>
      <c r="Y63" s="32" t="s">
        <v>611</v>
      </c>
      <c r="Z63" s="32">
        <v>0</v>
      </c>
      <c r="AA63" s="32">
        <v>0</v>
      </c>
      <c r="AB63" s="32">
        <v>0</v>
      </c>
      <c r="AC63" s="32">
        <v>-190.26456882954764</v>
      </c>
      <c r="AD63" s="32">
        <v>0</v>
      </c>
      <c r="AE63" s="32">
        <v>0</v>
      </c>
      <c r="AF63" s="32">
        <v>0</v>
      </c>
      <c r="AG63" s="32">
        <v>0</v>
      </c>
      <c r="AH63" s="32">
        <v>-0.4283347068690555</v>
      </c>
      <c r="AI63" s="32">
        <v>-0.10605175266784705</v>
      </c>
      <c r="AJ63" s="32">
        <v>-0.88476309736183789</v>
      </c>
      <c r="AK63" s="32">
        <v>-191.52510122985919</v>
      </c>
      <c r="AL63" s="32">
        <v>-192.94425078675792</v>
      </c>
      <c r="AM63" s="32">
        <v>36.751868942169999</v>
      </c>
      <c r="AN63" s="32">
        <v>6.3288073286628945</v>
      </c>
      <c r="AO63" s="32">
        <v>4.3080676270832896</v>
      </c>
      <c r="AP63" s="32">
        <v>0</v>
      </c>
      <c r="AQ63" s="32">
        <v>47.388743897916186</v>
      </c>
      <c r="AR63" s="32">
        <v>-0.4283347068690555</v>
      </c>
      <c r="AS63" s="383">
        <v>9999</v>
      </c>
      <c r="AT63" s="32">
        <v>36.751868942169999</v>
      </c>
      <c r="AU63" s="32">
        <v>7.1592843084421878</v>
      </c>
      <c r="AV63" s="32">
        <v>4.3911153250612189</v>
      </c>
      <c r="AW63" s="32">
        <v>0</v>
      </c>
      <c r="AX63" s="32">
        <v>48.302268575673409</v>
      </c>
      <c r="AY63" s="32">
        <v>-0.10605175266784705</v>
      </c>
      <c r="AZ63" s="383">
        <v>9999</v>
      </c>
      <c r="BA63" s="32">
        <v>36.751868942169999</v>
      </c>
      <c r="BB63" s="32">
        <v>13.488091637105082</v>
      </c>
      <c r="BC63" s="32">
        <v>5.0239960579275085</v>
      </c>
      <c r="BD63" s="32">
        <v>0</v>
      </c>
      <c r="BE63" s="32">
        <v>55.263956637202597</v>
      </c>
      <c r="BF63" s="32">
        <v>-0.53438645953690256</v>
      </c>
      <c r="BG63" s="32">
        <v>-18.289616287554068</v>
      </c>
      <c r="BH63" s="383">
        <v>9999</v>
      </c>
      <c r="BI63" s="32">
        <v>-0.4113137879326329</v>
      </c>
      <c r="BJ63" s="32">
        <v>-0.1018375289398203</v>
      </c>
      <c r="BK63" s="32">
        <v>-0.84960488880056495</v>
      </c>
      <c r="BL63" s="32">
        <v>-183.91438659467988</v>
      </c>
      <c r="BM63" s="32">
        <v>-185.27714280035289</v>
      </c>
      <c r="BN63" s="32">
        <v>36.751868942169999</v>
      </c>
      <c r="BO63" s="32">
        <v>0</v>
      </c>
      <c r="BP63" s="32">
        <v>13.488091637105082</v>
      </c>
      <c r="BQ63" s="32">
        <v>0</v>
      </c>
      <c r="BR63" s="32">
        <v>0</v>
      </c>
      <c r="BS63" s="32">
        <v>0</v>
      </c>
      <c r="BT63" s="32">
        <v>0</v>
      </c>
      <c r="BU63" s="32">
        <v>0</v>
      </c>
      <c r="BV63" s="32">
        <v>0</v>
      </c>
      <c r="BW63" s="32">
        <v>5.0239960579275085</v>
      </c>
      <c r="BX63" s="32">
        <v>-2.6796819572102804</v>
      </c>
      <c r="BY63" s="32"/>
      <c r="BZ63" s="32">
        <v>-190.26456882954764</v>
      </c>
      <c r="CA63" s="32">
        <v>0</v>
      </c>
      <c r="CB63" s="32">
        <v>55.26395663720259</v>
      </c>
      <c r="CC63" s="32">
        <v>-192.94425078675792</v>
      </c>
      <c r="CD63" s="383">
        <v>9999</v>
      </c>
      <c r="CE63" s="32">
        <v>-203.05360777103448</v>
      </c>
      <c r="CF63" s="32">
        <v>0.72795700127082397</v>
      </c>
      <c r="CG63" s="32">
        <v>0</v>
      </c>
      <c r="CH63" s="32">
        <v>0.72795700127082397</v>
      </c>
      <c r="CI63" s="32">
        <v>3.6397681604017865E-2</v>
      </c>
      <c r="CJ63" s="32">
        <v>0</v>
      </c>
      <c r="CK63" s="32">
        <v>3.6397681604017865E-2</v>
      </c>
      <c r="CL63" s="32"/>
      <c r="CM63" s="32">
        <v>0</v>
      </c>
      <c r="CN63" s="32"/>
      <c r="CO63" s="32">
        <v>0</v>
      </c>
      <c r="CP63" s="32">
        <v>0</v>
      </c>
      <c r="CQ63" s="32">
        <v>0</v>
      </c>
      <c r="CR63" s="32">
        <v>0</v>
      </c>
      <c r="CS63" s="32">
        <v>0</v>
      </c>
      <c r="CT63" s="32">
        <v>0</v>
      </c>
      <c r="CU63" s="32">
        <v>-0.88476309736183789</v>
      </c>
      <c r="CV63" s="32">
        <v>9999</v>
      </c>
      <c r="CW63" s="383">
        <v>9999</v>
      </c>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row>
    <row r="64" spans="1:131">
      <c r="A64" s="11" t="s">
        <v>665</v>
      </c>
      <c r="B64" s="11" t="s">
        <v>840</v>
      </c>
      <c r="C64" s="32">
        <v>16.279069767441861</v>
      </c>
      <c r="D64" s="32">
        <v>204.25</v>
      </c>
      <c r="E64" s="32">
        <v>0</v>
      </c>
      <c r="F64" s="32">
        <v>1.0057886064783617</v>
      </c>
      <c r="G64" s="32">
        <v>0</v>
      </c>
      <c r="H64" s="32">
        <v>-78.952145319170185</v>
      </c>
      <c r="I64" s="32" t="s">
        <v>526</v>
      </c>
      <c r="J64" s="32"/>
      <c r="K64" s="32"/>
      <c r="L64" s="32">
        <v>231.09639113662143</v>
      </c>
      <c r="M64" s="32">
        <v>5.4017153198887245E-2</v>
      </c>
      <c r="N64" s="32">
        <v>5.1249670966686187E-2</v>
      </c>
      <c r="O64" s="32">
        <v>0</v>
      </c>
      <c r="P64" s="32">
        <v>0</v>
      </c>
      <c r="Q64" s="32">
        <v>0</v>
      </c>
      <c r="R64" s="32">
        <v>0.20056768396106978</v>
      </c>
      <c r="S64" s="32">
        <v>4.9658722656590201E-2</v>
      </c>
      <c r="T64" s="32">
        <v>0.4142902324894614</v>
      </c>
      <c r="U64" s="32">
        <v>0.59024417128463713</v>
      </c>
      <c r="V64" s="32" t="s">
        <v>611</v>
      </c>
      <c r="W64" s="32" t="s">
        <v>611</v>
      </c>
      <c r="X64" s="32" t="s">
        <v>611</v>
      </c>
      <c r="Y64" s="32" t="s">
        <v>611</v>
      </c>
      <c r="Z64" s="32">
        <v>0</v>
      </c>
      <c r="AA64" s="32">
        <v>0</v>
      </c>
      <c r="AB64" s="32">
        <v>0</v>
      </c>
      <c r="AC64" s="32">
        <v>0</v>
      </c>
      <c r="AD64" s="32">
        <v>0</v>
      </c>
      <c r="AE64" s="32">
        <v>0</v>
      </c>
      <c r="AF64" s="32">
        <v>0</v>
      </c>
      <c r="AG64" s="32">
        <v>-78.952145319170185</v>
      </c>
      <c r="AH64" s="32">
        <v>0.20056768396106978</v>
      </c>
      <c r="AI64" s="32">
        <v>4.9658722656590201E-2</v>
      </c>
      <c r="AJ64" s="32">
        <v>0.4142902324894614</v>
      </c>
      <c r="AK64" s="32">
        <v>-78.361901147885547</v>
      </c>
      <c r="AL64" s="32">
        <v>-77.697384508778427</v>
      </c>
      <c r="AM64" s="32">
        <v>110.83896982559205</v>
      </c>
      <c r="AN64" s="32">
        <v>19.086879245173812</v>
      </c>
      <c r="AO64" s="32">
        <v>12.992584907076587</v>
      </c>
      <c r="AP64" s="32">
        <v>0</v>
      </c>
      <c r="AQ64" s="32">
        <v>142.91843397784243</v>
      </c>
      <c r="AR64" s="32">
        <v>0.20056768396106978</v>
      </c>
      <c r="AS64" s="383">
        <v>712.56959822890974</v>
      </c>
      <c r="AT64" s="32">
        <v>110.83896982559205</v>
      </c>
      <c r="AU64" s="32">
        <v>21.591492358793907</v>
      </c>
      <c r="AV64" s="32">
        <v>13.243046218438597</v>
      </c>
      <c r="AW64" s="32">
        <v>0</v>
      </c>
      <c r="AX64" s="32">
        <v>145.67350840282455</v>
      </c>
      <c r="AY64" s="32">
        <v>4.9658722656590201E-2</v>
      </c>
      <c r="AZ64" s="383">
        <v>2933.4928610672237</v>
      </c>
      <c r="BA64" s="32">
        <v>110.83896982559205</v>
      </c>
      <c r="BB64" s="32">
        <v>40.678371603967719</v>
      </c>
      <c r="BC64" s="32">
        <v>15.151734142955977</v>
      </c>
      <c r="BD64" s="32">
        <v>0</v>
      </c>
      <c r="BE64" s="32">
        <v>166.66907557251574</v>
      </c>
      <c r="BF64" s="32">
        <v>0.25022640661765999</v>
      </c>
      <c r="BG64" s="32">
        <v>-17.696792168839856</v>
      </c>
      <c r="BH64" s="383">
        <v>666.07308886940189</v>
      </c>
      <c r="BI64" s="32">
        <v>6.3861322855924413E-2</v>
      </c>
      <c r="BJ64" s="32">
        <v>1.5811478985821366E-2</v>
      </c>
      <c r="BK64" s="32">
        <v>0.13191119212505248</v>
      </c>
      <c r="BL64" s="32">
        <v>-24.95065291665076</v>
      </c>
      <c r="BM64" s="32">
        <v>-24.739068922683963</v>
      </c>
      <c r="BN64" s="32">
        <v>110.83896982559205</v>
      </c>
      <c r="BO64" s="32">
        <v>0</v>
      </c>
      <c r="BP64" s="32">
        <v>40.678371603967719</v>
      </c>
      <c r="BQ64" s="32">
        <v>0</v>
      </c>
      <c r="BR64" s="32">
        <v>0</v>
      </c>
      <c r="BS64" s="32">
        <v>0</v>
      </c>
      <c r="BT64" s="32">
        <v>0</v>
      </c>
      <c r="BU64" s="32">
        <v>0</v>
      </c>
      <c r="BV64" s="32">
        <v>0</v>
      </c>
      <c r="BW64" s="32">
        <v>15.151734142955977</v>
      </c>
      <c r="BX64" s="32">
        <v>1.2547608103917585</v>
      </c>
      <c r="BY64" s="32"/>
      <c r="BZ64" s="32">
        <v>0</v>
      </c>
      <c r="CA64" s="32">
        <v>-78.952145319170185</v>
      </c>
      <c r="CB64" s="32">
        <v>166.66907557251574</v>
      </c>
      <c r="CC64" s="32">
        <v>-77.697384508778427</v>
      </c>
      <c r="CD64" s="383">
        <v>195.75142836585613</v>
      </c>
      <c r="CE64" s="32">
        <v>-42.515533893365571</v>
      </c>
      <c r="CF64" s="32">
        <v>2.1954258768485122</v>
      </c>
      <c r="CG64" s="32">
        <v>0</v>
      </c>
      <c r="CH64" s="32">
        <v>2.1954258768485122</v>
      </c>
      <c r="CI64" s="32">
        <v>0.10977078578989516</v>
      </c>
      <c r="CJ64" s="32">
        <v>0</v>
      </c>
      <c r="CK64" s="32">
        <v>0.10977078578989516</v>
      </c>
      <c r="CL64" s="32"/>
      <c r="CM64" s="32">
        <v>0</v>
      </c>
      <c r="CN64" s="32"/>
      <c r="CO64" s="32">
        <v>0</v>
      </c>
      <c r="CP64" s="32">
        <v>0</v>
      </c>
      <c r="CQ64" s="32">
        <v>0</v>
      </c>
      <c r="CR64" s="32">
        <v>0</v>
      </c>
      <c r="CS64" s="32">
        <v>0</v>
      </c>
      <c r="CT64" s="32">
        <v>0</v>
      </c>
      <c r="CU64" s="32">
        <v>0.4142902324894614</v>
      </c>
      <c r="CV64" s="32">
        <v>9999</v>
      </c>
      <c r="CW64" s="384">
        <v>0</v>
      </c>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row>
    <row r="65" spans="1:131">
      <c r="A65" s="11" t="s">
        <v>665</v>
      </c>
      <c r="B65" s="11" t="s">
        <v>841</v>
      </c>
      <c r="C65" s="32">
        <v>16.279069767441861</v>
      </c>
      <c r="D65" s="32">
        <v>204.25</v>
      </c>
      <c r="E65" s="32">
        <v>0</v>
      </c>
      <c r="F65" s="32">
        <v>1.0057886064783617</v>
      </c>
      <c r="G65" s="32">
        <v>-28</v>
      </c>
      <c r="H65" s="32">
        <v>0</v>
      </c>
      <c r="I65" s="32" t="s">
        <v>526</v>
      </c>
      <c r="J65" s="32"/>
      <c r="K65" s="32"/>
      <c r="L65" s="32">
        <v>231.09639113662143</v>
      </c>
      <c r="M65" s="32">
        <v>5.4017153198887245E-2</v>
      </c>
      <c r="N65" s="32">
        <v>5.1249670966686187E-2</v>
      </c>
      <c r="O65" s="32">
        <v>0</v>
      </c>
      <c r="P65" s="32">
        <v>0</v>
      </c>
      <c r="Q65" s="32">
        <v>0</v>
      </c>
      <c r="R65" s="32">
        <v>0.20056768396106978</v>
      </c>
      <c r="S65" s="32">
        <v>4.9658722656590201E-2</v>
      </c>
      <c r="T65" s="32">
        <v>0.4142902324894614</v>
      </c>
      <c r="U65" s="32">
        <v>0.59024417128463713</v>
      </c>
      <c r="V65" s="32" t="s">
        <v>611</v>
      </c>
      <c r="W65" s="32" t="s">
        <v>611</v>
      </c>
      <c r="X65" s="32" t="s">
        <v>611</v>
      </c>
      <c r="Y65" s="32" t="s">
        <v>611</v>
      </c>
      <c r="Z65" s="32">
        <v>0</v>
      </c>
      <c r="AA65" s="32">
        <v>0</v>
      </c>
      <c r="AB65" s="32">
        <v>0</v>
      </c>
      <c r="AC65" s="32">
        <v>-380.52913765909528</v>
      </c>
      <c r="AD65" s="32">
        <v>0</v>
      </c>
      <c r="AE65" s="32">
        <v>0</v>
      </c>
      <c r="AF65" s="32">
        <v>0</v>
      </c>
      <c r="AG65" s="32">
        <v>0</v>
      </c>
      <c r="AH65" s="32">
        <v>0.20056768396106978</v>
      </c>
      <c r="AI65" s="32">
        <v>4.9658722656590201E-2</v>
      </c>
      <c r="AJ65" s="32">
        <v>0.4142902324894614</v>
      </c>
      <c r="AK65" s="32">
        <v>-379.93889348781067</v>
      </c>
      <c r="AL65" s="32">
        <v>-379.27437684870353</v>
      </c>
      <c r="AM65" s="32">
        <v>110.83896982559205</v>
      </c>
      <c r="AN65" s="32">
        <v>19.086879245173812</v>
      </c>
      <c r="AO65" s="32">
        <v>12.992584907076587</v>
      </c>
      <c r="AP65" s="32">
        <v>0</v>
      </c>
      <c r="AQ65" s="32">
        <v>142.91843397784243</v>
      </c>
      <c r="AR65" s="32">
        <v>0.20056768396106978</v>
      </c>
      <c r="AS65" s="383">
        <v>712.56959822890974</v>
      </c>
      <c r="AT65" s="32">
        <v>110.83896982559205</v>
      </c>
      <c r="AU65" s="32">
        <v>21.591492358793907</v>
      </c>
      <c r="AV65" s="32">
        <v>13.243046218438597</v>
      </c>
      <c r="AW65" s="32">
        <v>0</v>
      </c>
      <c r="AX65" s="32">
        <v>145.67350840282455</v>
      </c>
      <c r="AY65" s="32">
        <v>4.9658722656590201E-2</v>
      </c>
      <c r="AZ65" s="383">
        <v>2933.4928610672237</v>
      </c>
      <c r="BA65" s="32">
        <v>110.83896982559205</v>
      </c>
      <c r="BB65" s="32">
        <v>40.678371603967719</v>
      </c>
      <c r="BC65" s="32">
        <v>15.151734142955977</v>
      </c>
      <c r="BD65" s="32">
        <v>0</v>
      </c>
      <c r="BE65" s="32">
        <v>166.66907557251574</v>
      </c>
      <c r="BF65" s="32">
        <v>0.25022640661765999</v>
      </c>
      <c r="BG65" s="32">
        <v>-17.696792168839856</v>
      </c>
      <c r="BH65" s="383">
        <v>666.07308886940189</v>
      </c>
      <c r="BI65" s="32">
        <v>6.3861322855924413E-2</v>
      </c>
      <c r="BJ65" s="32">
        <v>1.5811478985821366E-2</v>
      </c>
      <c r="BK65" s="32">
        <v>0.13191119212505248</v>
      </c>
      <c r="BL65" s="32">
        <v>-120.97362777174656</v>
      </c>
      <c r="BM65" s="32">
        <v>-120.76204377777975</v>
      </c>
      <c r="BN65" s="32">
        <v>110.83896982559205</v>
      </c>
      <c r="BO65" s="32">
        <v>0</v>
      </c>
      <c r="BP65" s="32">
        <v>40.678371603967719</v>
      </c>
      <c r="BQ65" s="32">
        <v>0</v>
      </c>
      <c r="BR65" s="32">
        <v>0</v>
      </c>
      <c r="BS65" s="32">
        <v>0</v>
      </c>
      <c r="BT65" s="32">
        <v>0</v>
      </c>
      <c r="BU65" s="32">
        <v>0</v>
      </c>
      <c r="BV65" s="32">
        <v>0</v>
      </c>
      <c r="BW65" s="32">
        <v>15.151734142955977</v>
      </c>
      <c r="BX65" s="32">
        <v>1.2547608103917585</v>
      </c>
      <c r="BY65" s="32"/>
      <c r="BZ65" s="32">
        <v>-380.52913765909528</v>
      </c>
      <c r="CA65" s="32">
        <v>0</v>
      </c>
      <c r="CB65" s="32">
        <v>166.66907557251574</v>
      </c>
      <c r="CC65" s="32">
        <v>-379.27437684870353</v>
      </c>
      <c r="CD65" s="383">
        <v>436.0976280895847</v>
      </c>
      <c r="CE65" s="32">
        <v>-138.53850874846137</v>
      </c>
      <c r="CF65" s="32">
        <v>2.1954258768485122</v>
      </c>
      <c r="CG65" s="32">
        <v>0</v>
      </c>
      <c r="CH65" s="32">
        <v>2.1954258768485122</v>
      </c>
      <c r="CI65" s="32">
        <v>0.10977078578989516</v>
      </c>
      <c r="CJ65" s="32">
        <v>0</v>
      </c>
      <c r="CK65" s="32">
        <v>0.10977078578989516</v>
      </c>
      <c r="CL65" s="32"/>
      <c r="CM65" s="32">
        <v>0</v>
      </c>
      <c r="CN65" s="32"/>
      <c r="CO65" s="32">
        <v>0</v>
      </c>
      <c r="CP65" s="32">
        <v>0</v>
      </c>
      <c r="CQ65" s="32">
        <v>0</v>
      </c>
      <c r="CR65" s="32">
        <v>0</v>
      </c>
      <c r="CS65" s="32">
        <v>0</v>
      </c>
      <c r="CT65" s="32">
        <v>0</v>
      </c>
      <c r="CU65" s="32">
        <v>0.4142902324894614</v>
      </c>
      <c r="CV65" s="32">
        <v>9999</v>
      </c>
      <c r="CW65" s="384">
        <v>0</v>
      </c>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row>
    <row r="66" spans="1:131">
      <c r="A66" s="11" t="s">
        <v>666</v>
      </c>
      <c r="B66" s="11" t="s">
        <v>842</v>
      </c>
      <c r="C66" s="32">
        <v>16.279069767441861</v>
      </c>
      <c r="D66" s="32">
        <v>333.25</v>
      </c>
      <c r="E66" s="32">
        <v>0</v>
      </c>
      <c r="F66" s="32">
        <v>1.0057886064783617</v>
      </c>
      <c r="G66" s="32">
        <v>0</v>
      </c>
      <c r="H66" s="32">
        <v>-78.952145319170185</v>
      </c>
      <c r="I66" s="32" t="s">
        <v>526</v>
      </c>
      <c r="J66" s="32"/>
      <c r="K66" s="32"/>
      <c r="L66" s="32">
        <v>377.0520065913297</v>
      </c>
      <c r="M66" s="32">
        <v>8.8133249956079199E-2</v>
      </c>
      <c r="N66" s="32">
        <v>8.3617884208803783E-2</v>
      </c>
      <c r="O66" s="32">
        <v>0</v>
      </c>
      <c r="P66" s="32">
        <v>0</v>
      </c>
      <c r="Q66" s="32">
        <v>0</v>
      </c>
      <c r="R66" s="32">
        <v>0.20056768396106978</v>
      </c>
      <c r="S66" s="32">
        <v>4.9658722656590201E-2</v>
      </c>
      <c r="T66" s="32">
        <v>0.4142902324894614</v>
      </c>
      <c r="U66" s="32">
        <v>0.59024417128463713</v>
      </c>
      <c r="V66" s="32" t="s">
        <v>611</v>
      </c>
      <c r="W66" s="32" t="s">
        <v>611</v>
      </c>
      <c r="X66" s="32" t="s">
        <v>611</v>
      </c>
      <c r="Y66" s="32" t="s">
        <v>611</v>
      </c>
      <c r="Z66" s="32">
        <v>0</v>
      </c>
      <c r="AA66" s="32">
        <v>0</v>
      </c>
      <c r="AB66" s="32">
        <v>0</v>
      </c>
      <c r="AC66" s="32">
        <v>0</v>
      </c>
      <c r="AD66" s="32">
        <v>0</v>
      </c>
      <c r="AE66" s="32">
        <v>0</v>
      </c>
      <c r="AF66" s="32">
        <v>0</v>
      </c>
      <c r="AG66" s="32">
        <v>-78.952145319170185</v>
      </c>
      <c r="AH66" s="32">
        <v>0.20056768396106978</v>
      </c>
      <c r="AI66" s="32">
        <v>4.9658722656590201E-2</v>
      </c>
      <c r="AJ66" s="32">
        <v>0.4142902324894614</v>
      </c>
      <c r="AK66" s="32">
        <v>-78.361901147885547</v>
      </c>
      <c r="AL66" s="32">
        <v>-77.697384508778427</v>
      </c>
      <c r="AM66" s="32">
        <v>180.84252971543961</v>
      </c>
      <c r="AN66" s="32">
        <v>31.141750347388854</v>
      </c>
      <c r="AO66" s="32">
        <v>21.198428006282846</v>
      </c>
      <c r="AP66" s="32">
        <v>0</v>
      </c>
      <c r="AQ66" s="32">
        <v>233.18270806911133</v>
      </c>
      <c r="AR66" s="32">
        <v>0.20056768396106978</v>
      </c>
      <c r="AS66" s="383">
        <v>1162.6135550050633</v>
      </c>
      <c r="AT66" s="32">
        <v>180.84252971543961</v>
      </c>
      <c r="AU66" s="32">
        <v>35.228224374874266</v>
      </c>
      <c r="AV66" s="32">
        <v>21.607075409031388</v>
      </c>
      <c r="AW66" s="32">
        <v>0</v>
      </c>
      <c r="AX66" s="32">
        <v>237.67782949934525</v>
      </c>
      <c r="AY66" s="32">
        <v>4.9658722656590201E-2</v>
      </c>
      <c r="AZ66" s="383">
        <v>4786.225194372837</v>
      </c>
      <c r="BA66" s="32">
        <v>180.84252971543961</v>
      </c>
      <c r="BB66" s="32">
        <v>66.369974722263123</v>
      </c>
      <c r="BC66" s="32">
        <v>24.721250443770273</v>
      </c>
      <c r="BD66" s="32">
        <v>0</v>
      </c>
      <c r="BE66" s="32">
        <v>271.93375488147302</v>
      </c>
      <c r="BF66" s="32">
        <v>0.25022640661765999</v>
      </c>
      <c r="BG66" s="32">
        <v>-17.727633253423758</v>
      </c>
      <c r="BH66" s="383">
        <v>1086.7508292079715</v>
      </c>
      <c r="BI66" s="32">
        <v>3.9140810782663349E-2</v>
      </c>
      <c r="BJ66" s="32">
        <v>9.6909064751808365E-3</v>
      </c>
      <c r="BK66" s="32">
        <v>8.0848795173419266E-2</v>
      </c>
      <c r="BL66" s="32">
        <v>-15.292335658592402</v>
      </c>
      <c r="BM66" s="32">
        <v>-15.162655146161137</v>
      </c>
      <c r="BN66" s="32">
        <v>180.84252971543961</v>
      </c>
      <c r="BO66" s="32">
        <v>0</v>
      </c>
      <c r="BP66" s="32">
        <v>66.369974722263123</v>
      </c>
      <c r="BQ66" s="32">
        <v>0</v>
      </c>
      <c r="BR66" s="32">
        <v>0</v>
      </c>
      <c r="BS66" s="32">
        <v>0</v>
      </c>
      <c r="BT66" s="32">
        <v>0</v>
      </c>
      <c r="BU66" s="32">
        <v>0</v>
      </c>
      <c r="BV66" s="32">
        <v>0</v>
      </c>
      <c r="BW66" s="32">
        <v>24.721250443770273</v>
      </c>
      <c r="BX66" s="32">
        <v>1.2547608103917585</v>
      </c>
      <c r="BY66" s="32"/>
      <c r="BZ66" s="32">
        <v>0</v>
      </c>
      <c r="CA66" s="32">
        <v>-78.952145319170185</v>
      </c>
      <c r="CB66" s="32">
        <v>271.93375488147302</v>
      </c>
      <c r="CC66" s="32">
        <v>-77.697384508778427</v>
      </c>
      <c r="CD66" s="383">
        <v>279.64365582241157</v>
      </c>
      <c r="CE66" s="32">
        <v>-32.939120116842744</v>
      </c>
      <c r="CF66" s="32">
        <v>3.5820106411738895</v>
      </c>
      <c r="CG66" s="32">
        <v>0</v>
      </c>
      <c r="CH66" s="32">
        <v>3.5820106411738895</v>
      </c>
      <c r="CI66" s="32">
        <v>0.17909970313088158</v>
      </c>
      <c r="CJ66" s="32">
        <v>0</v>
      </c>
      <c r="CK66" s="32">
        <v>0.17909970313088158</v>
      </c>
      <c r="CL66" s="32"/>
      <c r="CM66" s="32">
        <v>0</v>
      </c>
      <c r="CN66" s="32"/>
      <c r="CO66" s="32">
        <v>0</v>
      </c>
      <c r="CP66" s="32">
        <v>0</v>
      </c>
      <c r="CQ66" s="32">
        <v>0</v>
      </c>
      <c r="CR66" s="32">
        <v>0</v>
      </c>
      <c r="CS66" s="32">
        <v>0</v>
      </c>
      <c r="CT66" s="32">
        <v>0</v>
      </c>
      <c r="CU66" s="32">
        <v>0.4142902324894614</v>
      </c>
      <c r="CV66" s="32">
        <v>9999</v>
      </c>
      <c r="CW66" s="384">
        <v>0</v>
      </c>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row>
    <row r="67" spans="1:131">
      <c r="A67" s="11" t="s">
        <v>666</v>
      </c>
      <c r="B67" s="11" t="s">
        <v>843</v>
      </c>
      <c r="C67" s="32">
        <v>16.279069767441861</v>
      </c>
      <c r="D67" s="32">
        <v>333.25</v>
      </c>
      <c r="E67" s="32">
        <v>0</v>
      </c>
      <c r="F67" s="32">
        <v>1.0057886064783617</v>
      </c>
      <c r="G67" s="32">
        <v>-28</v>
      </c>
      <c r="H67" s="32">
        <v>0</v>
      </c>
      <c r="I67" s="32" t="s">
        <v>526</v>
      </c>
      <c r="J67" s="32"/>
      <c r="K67" s="32"/>
      <c r="L67" s="32">
        <v>377.0520065913297</v>
      </c>
      <c r="M67" s="32">
        <v>8.8133249956079199E-2</v>
      </c>
      <c r="N67" s="32">
        <v>8.3617884208803783E-2</v>
      </c>
      <c r="O67" s="32">
        <v>0</v>
      </c>
      <c r="P67" s="32">
        <v>0</v>
      </c>
      <c r="Q67" s="32">
        <v>0</v>
      </c>
      <c r="R67" s="32">
        <v>0.20056768396106978</v>
      </c>
      <c r="S67" s="32">
        <v>4.9658722656590201E-2</v>
      </c>
      <c r="T67" s="32">
        <v>0.4142902324894614</v>
      </c>
      <c r="U67" s="32">
        <v>0.59024417128463713</v>
      </c>
      <c r="V67" s="32" t="s">
        <v>611</v>
      </c>
      <c r="W67" s="32" t="s">
        <v>611</v>
      </c>
      <c r="X67" s="32" t="s">
        <v>611</v>
      </c>
      <c r="Y67" s="32" t="s">
        <v>611</v>
      </c>
      <c r="Z67" s="32">
        <v>0</v>
      </c>
      <c r="AA67" s="32">
        <v>0</v>
      </c>
      <c r="AB67" s="32">
        <v>0</v>
      </c>
      <c r="AC67" s="32">
        <v>-380.52913765909528</v>
      </c>
      <c r="AD67" s="32">
        <v>0</v>
      </c>
      <c r="AE67" s="32">
        <v>0</v>
      </c>
      <c r="AF67" s="32">
        <v>0</v>
      </c>
      <c r="AG67" s="32">
        <v>0</v>
      </c>
      <c r="AH67" s="32">
        <v>0.20056768396106978</v>
      </c>
      <c r="AI67" s="32">
        <v>4.9658722656590201E-2</v>
      </c>
      <c r="AJ67" s="32">
        <v>0.4142902324894614</v>
      </c>
      <c r="AK67" s="32">
        <v>-379.93889348781067</v>
      </c>
      <c r="AL67" s="32">
        <v>-379.27437684870353</v>
      </c>
      <c r="AM67" s="32">
        <v>180.84252971543961</v>
      </c>
      <c r="AN67" s="32">
        <v>31.141750347388854</v>
      </c>
      <c r="AO67" s="32">
        <v>21.198428006282846</v>
      </c>
      <c r="AP67" s="32">
        <v>0</v>
      </c>
      <c r="AQ67" s="32">
        <v>233.18270806911133</v>
      </c>
      <c r="AR67" s="32">
        <v>0.20056768396106978</v>
      </c>
      <c r="AS67" s="383">
        <v>1162.6135550050633</v>
      </c>
      <c r="AT67" s="32">
        <v>180.84252971543961</v>
      </c>
      <c r="AU67" s="32">
        <v>35.228224374874266</v>
      </c>
      <c r="AV67" s="32">
        <v>21.607075409031388</v>
      </c>
      <c r="AW67" s="32">
        <v>0</v>
      </c>
      <c r="AX67" s="32">
        <v>237.67782949934525</v>
      </c>
      <c r="AY67" s="32">
        <v>4.9658722656590201E-2</v>
      </c>
      <c r="AZ67" s="383">
        <v>4786.225194372837</v>
      </c>
      <c r="BA67" s="32">
        <v>180.84252971543961</v>
      </c>
      <c r="BB67" s="32">
        <v>66.369974722263123</v>
      </c>
      <c r="BC67" s="32">
        <v>24.721250443770273</v>
      </c>
      <c r="BD67" s="32">
        <v>0</v>
      </c>
      <c r="BE67" s="32">
        <v>271.93375488147302</v>
      </c>
      <c r="BF67" s="32">
        <v>0.25022640661765999</v>
      </c>
      <c r="BG67" s="32">
        <v>-17.727633253423758</v>
      </c>
      <c r="BH67" s="383">
        <v>1086.7508292079715</v>
      </c>
      <c r="BI67" s="32">
        <v>3.9140810782663349E-2</v>
      </c>
      <c r="BJ67" s="32">
        <v>9.6909064751808365E-3</v>
      </c>
      <c r="BK67" s="32">
        <v>8.0848795173419266E-2</v>
      </c>
      <c r="BL67" s="32">
        <v>-74.145126698812405</v>
      </c>
      <c r="BM67" s="32">
        <v>-74.015446186381141</v>
      </c>
      <c r="BN67" s="32">
        <v>180.84252971543961</v>
      </c>
      <c r="BO67" s="32">
        <v>0</v>
      </c>
      <c r="BP67" s="32">
        <v>66.369974722263123</v>
      </c>
      <c r="BQ67" s="32">
        <v>0</v>
      </c>
      <c r="BR67" s="32">
        <v>0</v>
      </c>
      <c r="BS67" s="32">
        <v>0</v>
      </c>
      <c r="BT67" s="32">
        <v>0</v>
      </c>
      <c r="BU67" s="32">
        <v>0</v>
      </c>
      <c r="BV67" s="32">
        <v>0</v>
      </c>
      <c r="BW67" s="32">
        <v>24.721250443770273</v>
      </c>
      <c r="BX67" s="32">
        <v>1.2547608103917585</v>
      </c>
      <c r="BY67" s="32"/>
      <c r="BZ67" s="32">
        <v>-380.52913765909528</v>
      </c>
      <c r="CA67" s="32">
        <v>0</v>
      </c>
      <c r="CB67" s="32">
        <v>271.93375488147302</v>
      </c>
      <c r="CC67" s="32">
        <v>-379.27437684870353</v>
      </c>
      <c r="CD67" s="383">
        <v>519.98985554614023</v>
      </c>
      <c r="CE67" s="32">
        <v>-91.791911157062742</v>
      </c>
      <c r="CF67" s="32">
        <v>3.5820106411738895</v>
      </c>
      <c r="CG67" s="32">
        <v>0</v>
      </c>
      <c r="CH67" s="32">
        <v>3.5820106411738895</v>
      </c>
      <c r="CI67" s="32">
        <v>0.17909970313088158</v>
      </c>
      <c r="CJ67" s="32">
        <v>0</v>
      </c>
      <c r="CK67" s="32">
        <v>0.17909970313088158</v>
      </c>
      <c r="CL67" s="32"/>
      <c r="CM67" s="32">
        <v>0</v>
      </c>
      <c r="CN67" s="32"/>
      <c r="CO67" s="32">
        <v>0</v>
      </c>
      <c r="CP67" s="32">
        <v>0</v>
      </c>
      <c r="CQ67" s="32">
        <v>0</v>
      </c>
      <c r="CR67" s="32">
        <v>0</v>
      </c>
      <c r="CS67" s="32">
        <v>0</v>
      </c>
      <c r="CT67" s="32">
        <v>0</v>
      </c>
      <c r="CU67" s="32">
        <v>0.4142902324894614</v>
      </c>
      <c r="CV67" s="32">
        <v>9999</v>
      </c>
      <c r="CW67" s="384">
        <v>0</v>
      </c>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row>
    <row r="68" spans="1:131">
      <c r="A68" s="11" t="s">
        <v>667</v>
      </c>
      <c r="B68" s="11" t="s">
        <v>955</v>
      </c>
      <c r="C68" s="32">
        <v>16.279069767441861</v>
      </c>
      <c r="D68" s="32">
        <v>597.70000000000005</v>
      </c>
      <c r="E68" s="32">
        <v>0</v>
      </c>
      <c r="F68" s="32">
        <v>67.011577212956723</v>
      </c>
      <c r="G68" s="32">
        <v>0</v>
      </c>
      <c r="H68" s="32">
        <v>-88.191149031623709</v>
      </c>
      <c r="I68" s="32" t="s">
        <v>526</v>
      </c>
      <c r="J68" s="32"/>
      <c r="K68" s="32"/>
      <c r="L68" s="32">
        <v>676.26101827348168</v>
      </c>
      <c r="M68" s="32">
        <v>0.1580712483083227</v>
      </c>
      <c r="N68" s="32">
        <v>0.14997272135514486</v>
      </c>
      <c r="O68" s="32">
        <v>0</v>
      </c>
      <c r="P68" s="32">
        <v>0</v>
      </c>
      <c r="Q68" s="32">
        <v>0</v>
      </c>
      <c r="R68" s="32">
        <v>13.363003670563335</v>
      </c>
      <c r="S68" s="32">
        <v>3.3085573908521795</v>
      </c>
      <c r="T68" s="32">
        <v>27.602462112040847</v>
      </c>
      <c r="U68" s="32">
        <v>39.32555270935957</v>
      </c>
      <c r="V68" s="32" t="s">
        <v>611</v>
      </c>
      <c r="W68" s="32" t="s">
        <v>611</v>
      </c>
      <c r="X68" s="32" t="s">
        <v>611</v>
      </c>
      <c r="Y68" s="32" t="s">
        <v>611</v>
      </c>
      <c r="Z68" s="32">
        <v>0</v>
      </c>
      <c r="AA68" s="32">
        <v>0</v>
      </c>
      <c r="AB68" s="32">
        <v>0</v>
      </c>
      <c r="AC68" s="32">
        <v>0</v>
      </c>
      <c r="AD68" s="32">
        <v>0</v>
      </c>
      <c r="AE68" s="32">
        <v>0</v>
      </c>
      <c r="AF68" s="32">
        <v>0</v>
      </c>
      <c r="AG68" s="32">
        <v>-88.191149031623709</v>
      </c>
      <c r="AH68" s="32">
        <v>13.363003670563335</v>
      </c>
      <c r="AI68" s="32">
        <v>3.3085573908521795</v>
      </c>
      <c r="AJ68" s="32">
        <v>27.602462112040847</v>
      </c>
      <c r="AK68" s="32">
        <v>-48.865596322264139</v>
      </c>
      <c r="AL68" s="32">
        <v>-4.5915731488077753</v>
      </c>
      <c r="AM68" s="32">
        <v>324.34982748962744</v>
      </c>
      <c r="AN68" s="32">
        <v>55.854236106929704</v>
      </c>
      <c r="AO68" s="32">
        <v>38.020406359655716</v>
      </c>
      <c r="AP68" s="32">
        <v>0</v>
      </c>
      <c r="AQ68" s="32">
        <v>418.22446995621289</v>
      </c>
      <c r="AR68" s="32">
        <v>13.363003670563335</v>
      </c>
      <c r="AS68" s="383">
        <v>31.297190382241514</v>
      </c>
      <c r="AT68" s="32">
        <v>324.34982748962744</v>
      </c>
      <c r="AU68" s="32">
        <v>63.183525007839016</v>
      </c>
      <c r="AV68" s="32">
        <v>38.753335249746648</v>
      </c>
      <c r="AW68" s="32">
        <v>0</v>
      </c>
      <c r="AX68" s="32">
        <v>426.28668774721314</v>
      </c>
      <c r="AY68" s="32">
        <v>3.3085573908521795</v>
      </c>
      <c r="AZ68" s="383">
        <v>128.84367335620411</v>
      </c>
      <c r="BA68" s="32">
        <v>324.34982748962744</v>
      </c>
      <c r="BB68" s="32">
        <v>119.03776111476873</v>
      </c>
      <c r="BC68" s="32">
        <v>44.338758860439619</v>
      </c>
      <c r="BD68" s="32">
        <v>0</v>
      </c>
      <c r="BE68" s="32">
        <v>487.72634746483578</v>
      </c>
      <c r="BF68" s="32">
        <v>16.671561061415517</v>
      </c>
      <c r="BG68" s="32">
        <v>-15.962486920103693</v>
      </c>
      <c r="BH68" s="383">
        <v>29.25498971980641</v>
      </c>
      <c r="BI68" s="32">
        <v>1.4539847383755364</v>
      </c>
      <c r="BJ68" s="32">
        <v>0.35999331220237979</v>
      </c>
      <c r="BK68" s="32">
        <v>3.0033336547609046</v>
      </c>
      <c r="BL68" s="32">
        <v>-5.3169057672792359</v>
      </c>
      <c r="BM68" s="32">
        <v>-0.49959406194041495</v>
      </c>
      <c r="BN68" s="32">
        <v>324.34982748962744</v>
      </c>
      <c r="BO68" s="32">
        <v>0</v>
      </c>
      <c r="BP68" s="32">
        <v>119.03776111476873</v>
      </c>
      <c r="BQ68" s="32">
        <v>0</v>
      </c>
      <c r="BR68" s="32">
        <v>0</v>
      </c>
      <c r="BS68" s="32">
        <v>0</v>
      </c>
      <c r="BT68" s="32">
        <v>0</v>
      </c>
      <c r="BU68" s="32">
        <v>0</v>
      </c>
      <c r="BV68" s="32">
        <v>0</v>
      </c>
      <c r="BW68" s="32">
        <v>44.338758860439619</v>
      </c>
      <c r="BX68" s="32">
        <v>83.599575882815941</v>
      </c>
      <c r="BY68" s="32"/>
      <c r="BZ68" s="32">
        <v>0</v>
      </c>
      <c r="CA68" s="32">
        <v>-88.191149031623709</v>
      </c>
      <c r="CB68" s="32">
        <v>487.72634746483578</v>
      </c>
      <c r="CC68" s="32">
        <v>-4.5915731488077682</v>
      </c>
      <c r="CD68" s="383">
        <v>6.8890002181798202</v>
      </c>
      <c r="CE68" s="32">
        <v>-18.276059032622022</v>
      </c>
      <c r="CF68" s="32">
        <v>6.4245094080409224</v>
      </c>
      <c r="CG68" s="32">
        <v>0</v>
      </c>
      <c r="CH68" s="32">
        <v>6.4245094080409224</v>
      </c>
      <c r="CI68" s="32">
        <v>0.32122398367990379</v>
      </c>
      <c r="CJ68" s="32">
        <v>0</v>
      </c>
      <c r="CK68" s="32">
        <v>0.32122398367990379</v>
      </c>
      <c r="CL68" s="32"/>
      <c r="CM68" s="32">
        <v>0</v>
      </c>
      <c r="CN68" s="32"/>
      <c r="CO68" s="32">
        <v>0</v>
      </c>
      <c r="CP68" s="32">
        <v>0</v>
      </c>
      <c r="CQ68" s="32">
        <v>0</v>
      </c>
      <c r="CR68" s="32">
        <v>0</v>
      </c>
      <c r="CS68" s="32">
        <v>0</v>
      </c>
      <c r="CT68" s="32">
        <v>0</v>
      </c>
      <c r="CU68" s="32">
        <v>27.602462112040847</v>
      </c>
      <c r="CV68" s="32">
        <v>9999</v>
      </c>
      <c r="CW68" s="384">
        <v>0</v>
      </c>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row>
    <row r="69" spans="1:131">
      <c r="A69" s="11" t="s">
        <v>667</v>
      </c>
      <c r="B69" s="11" t="s">
        <v>956</v>
      </c>
      <c r="C69" s="32">
        <v>16.279069767441861</v>
      </c>
      <c r="D69" s="32">
        <v>597.70000000000005</v>
      </c>
      <c r="E69" s="32">
        <v>0</v>
      </c>
      <c r="F69" s="32">
        <v>67.011577212956723</v>
      </c>
      <c r="G69" s="32">
        <v>-28</v>
      </c>
      <c r="H69" s="32">
        <v>0</v>
      </c>
      <c r="I69" s="32" t="s">
        <v>526</v>
      </c>
      <c r="J69" s="32"/>
      <c r="K69" s="32"/>
      <c r="L69" s="32">
        <v>676.26101827348168</v>
      </c>
      <c r="M69" s="32">
        <v>0.1580712483083227</v>
      </c>
      <c r="N69" s="32">
        <v>0.14997272135514486</v>
      </c>
      <c r="O69" s="32">
        <v>0</v>
      </c>
      <c r="P69" s="32">
        <v>0</v>
      </c>
      <c r="Q69" s="32">
        <v>0</v>
      </c>
      <c r="R69" s="32">
        <v>13.363003670563335</v>
      </c>
      <c r="S69" s="32">
        <v>3.3085573908521795</v>
      </c>
      <c r="T69" s="32">
        <v>27.602462112040847</v>
      </c>
      <c r="U69" s="32">
        <v>39.32555270935957</v>
      </c>
      <c r="V69" s="32" t="s">
        <v>611</v>
      </c>
      <c r="W69" s="32" t="s">
        <v>611</v>
      </c>
      <c r="X69" s="32" t="s">
        <v>611</v>
      </c>
      <c r="Y69" s="32" t="s">
        <v>611</v>
      </c>
      <c r="Z69" s="32">
        <v>0</v>
      </c>
      <c r="AA69" s="32">
        <v>0</v>
      </c>
      <c r="AB69" s="32">
        <v>0</v>
      </c>
      <c r="AC69" s="32">
        <v>-380.52913765909528</v>
      </c>
      <c r="AD69" s="32">
        <v>0</v>
      </c>
      <c r="AE69" s="32">
        <v>0</v>
      </c>
      <c r="AF69" s="32">
        <v>0</v>
      </c>
      <c r="AG69" s="32">
        <v>0</v>
      </c>
      <c r="AH69" s="32">
        <v>13.363003670563335</v>
      </c>
      <c r="AI69" s="32">
        <v>3.3085573908521795</v>
      </c>
      <c r="AJ69" s="32">
        <v>27.602462112040847</v>
      </c>
      <c r="AK69" s="32">
        <v>-341.20358494973573</v>
      </c>
      <c r="AL69" s="32">
        <v>-296.92956177627934</v>
      </c>
      <c r="AM69" s="32">
        <v>324.34982748962744</v>
      </c>
      <c r="AN69" s="32">
        <v>55.854236106929704</v>
      </c>
      <c r="AO69" s="32">
        <v>38.020406359655716</v>
      </c>
      <c r="AP69" s="32">
        <v>0</v>
      </c>
      <c r="AQ69" s="32">
        <v>418.22446995621289</v>
      </c>
      <c r="AR69" s="32">
        <v>13.363003670563335</v>
      </c>
      <c r="AS69" s="383">
        <v>31.297190382241514</v>
      </c>
      <c r="AT69" s="32">
        <v>324.34982748962744</v>
      </c>
      <c r="AU69" s="32">
        <v>63.183525007839016</v>
      </c>
      <c r="AV69" s="32">
        <v>38.753335249746648</v>
      </c>
      <c r="AW69" s="32">
        <v>0</v>
      </c>
      <c r="AX69" s="32">
        <v>426.28668774721314</v>
      </c>
      <c r="AY69" s="32">
        <v>3.3085573908521795</v>
      </c>
      <c r="AZ69" s="383">
        <v>128.84367335620411</v>
      </c>
      <c r="BA69" s="32">
        <v>324.34982748962744</v>
      </c>
      <c r="BB69" s="32">
        <v>119.03776111476873</v>
      </c>
      <c r="BC69" s="32">
        <v>44.338758860439619</v>
      </c>
      <c r="BD69" s="32">
        <v>0</v>
      </c>
      <c r="BE69" s="32">
        <v>487.72634746483578</v>
      </c>
      <c r="BF69" s="32">
        <v>16.671561061415517</v>
      </c>
      <c r="BG69" s="32">
        <v>-15.962486920103693</v>
      </c>
      <c r="BH69" s="383">
        <v>29.25498971980641</v>
      </c>
      <c r="BI69" s="32">
        <v>1.4539847383755364</v>
      </c>
      <c r="BJ69" s="32">
        <v>0.35999331220237979</v>
      </c>
      <c r="BK69" s="32">
        <v>3.0033336547609046</v>
      </c>
      <c r="BL69" s="32">
        <v>-37.125246495949114</v>
      </c>
      <c r="BM69" s="32">
        <v>-32.30793479061029</v>
      </c>
      <c r="BN69" s="32">
        <v>324.34982748962744</v>
      </c>
      <c r="BO69" s="32">
        <v>0</v>
      </c>
      <c r="BP69" s="32">
        <v>119.03776111476873</v>
      </c>
      <c r="BQ69" s="32">
        <v>0</v>
      </c>
      <c r="BR69" s="32">
        <v>0</v>
      </c>
      <c r="BS69" s="32">
        <v>0</v>
      </c>
      <c r="BT69" s="32">
        <v>0</v>
      </c>
      <c r="BU69" s="32">
        <v>0</v>
      </c>
      <c r="BV69" s="32">
        <v>0</v>
      </c>
      <c r="BW69" s="32">
        <v>44.338758860439619</v>
      </c>
      <c r="BX69" s="32">
        <v>83.599575882815941</v>
      </c>
      <c r="BY69" s="32"/>
      <c r="BZ69" s="32">
        <v>-380.52913765909528</v>
      </c>
      <c r="CA69" s="32">
        <v>0</v>
      </c>
      <c r="CB69" s="32">
        <v>487.72634746483578</v>
      </c>
      <c r="CC69" s="32">
        <v>-296.92956177627934</v>
      </c>
      <c r="CD69" s="383">
        <v>10.385883851145261</v>
      </c>
      <c r="CE69" s="32">
        <v>-50.084399761291891</v>
      </c>
      <c r="CF69" s="32">
        <v>6.4245094080409224</v>
      </c>
      <c r="CG69" s="32">
        <v>0</v>
      </c>
      <c r="CH69" s="32">
        <v>6.4245094080409224</v>
      </c>
      <c r="CI69" s="32">
        <v>0.32122398367990379</v>
      </c>
      <c r="CJ69" s="32">
        <v>0</v>
      </c>
      <c r="CK69" s="32">
        <v>0.32122398367990379</v>
      </c>
      <c r="CL69" s="32"/>
      <c r="CM69" s="32">
        <v>0</v>
      </c>
      <c r="CN69" s="32"/>
      <c r="CO69" s="32">
        <v>0</v>
      </c>
      <c r="CP69" s="32">
        <v>0</v>
      </c>
      <c r="CQ69" s="32">
        <v>0</v>
      </c>
      <c r="CR69" s="32">
        <v>0</v>
      </c>
      <c r="CS69" s="32">
        <v>0</v>
      </c>
      <c r="CT69" s="32">
        <v>0</v>
      </c>
      <c r="CU69" s="32">
        <v>27.602462112040847</v>
      </c>
      <c r="CV69" s="32">
        <v>9999</v>
      </c>
      <c r="CW69" s="384">
        <v>0</v>
      </c>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row>
    <row r="70" spans="1:131">
      <c r="A70" s="11" t="s">
        <v>668</v>
      </c>
      <c r="B70" s="11" t="s">
        <v>872</v>
      </c>
      <c r="C70" s="32">
        <v>16.279069767441861</v>
      </c>
      <c r="D70" s="32">
        <v>1459.85</v>
      </c>
      <c r="E70" s="32">
        <v>0</v>
      </c>
      <c r="F70" s="32">
        <v>266.0347316388702</v>
      </c>
      <c r="G70" s="32">
        <v>0</v>
      </c>
      <c r="H70" s="32">
        <v>-90.31623696009656</v>
      </c>
      <c r="I70" s="32" t="s">
        <v>526</v>
      </c>
      <c r="J70" s="32"/>
      <c r="K70" s="32"/>
      <c r="L70" s="32">
        <v>1651.7310482291152</v>
      </c>
      <c r="M70" s="32">
        <v>0.38608049496888885</v>
      </c>
      <c r="N70" s="32">
        <v>0.36630027985663072</v>
      </c>
      <c r="O70" s="32">
        <v>0</v>
      </c>
      <c r="P70" s="32">
        <v>0</v>
      </c>
      <c r="Q70" s="32">
        <v>0</v>
      </c>
      <c r="R70" s="32">
        <v>53.050879314331205</v>
      </c>
      <c r="S70" s="32">
        <v>13.134912118095537</v>
      </c>
      <c r="T70" s="32">
        <v>109.58126798318446</v>
      </c>
      <c r="U70" s="32">
        <v>156.12172249486898</v>
      </c>
      <c r="V70" s="32" t="s">
        <v>611</v>
      </c>
      <c r="W70" s="32" t="s">
        <v>611</v>
      </c>
      <c r="X70" s="32" t="s">
        <v>611</v>
      </c>
      <c r="Y70" s="32" t="s">
        <v>611</v>
      </c>
      <c r="Z70" s="32">
        <v>0</v>
      </c>
      <c r="AA70" s="32">
        <v>0</v>
      </c>
      <c r="AB70" s="32">
        <v>0</v>
      </c>
      <c r="AC70" s="32">
        <v>0</v>
      </c>
      <c r="AD70" s="32">
        <v>0</v>
      </c>
      <c r="AE70" s="32">
        <v>0</v>
      </c>
      <c r="AF70" s="32">
        <v>0</v>
      </c>
      <c r="AG70" s="32">
        <v>-90.31623696009656</v>
      </c>
      <c r="AH70" s="32">
        <v>53.050879314331205</v>
      </c>
      <c r="AI70" s="32">
        <v>13.134912118095537</v>
      </c>
      <c r="AJ70" s="32">
        <v>109.58126798318446</v>
      </c>
      <c r="AK70" s="32">
        <v>65.805485534772416</v>
      </c>
      <c r="AL70" s="32">
        <v>241.57254495038359</v>
      </c>
      <c r="AM70" s="32">
        <v>792.20695275344133</v>
      </c>
      <c r="AN70" s="32">
        <v>136.42095797340019</v>
      </c>
      <c r="AO70" s="32">
        <v>92.862791072684161</v>
      </c>
      <c r="AP70" s="32">
        <v>0</v>
      </c>
      <c r="AQ70" s="32">
        <v>1021.4907017995256</v>
      </c>
      <c r="AR70" s="32">
        <v>53.050879314331205</v>
      </c>
      <c r="AS70" s="383">
        <v>19.254924989029906</v>
      </c>
      <c r="AT70" s="32">
        <v>792.20695275344133</v>
      </c>
      <c r="AU70" s="32">
        <v>154.32235064864273</v>
      </c>
      <c r="AV70" s="32">
        <v>94.652930340208414</v>
      </c>
      <c r="AW70" s="32">
        <v>0</v>
      </c>
      <c r="AX70" s="32">
        <v>1041.1822337422925</v>
      </c>
      <c r="AY70" s="32">
        <v>13.134912118095537</v>
      </c>
      <c r="AZ70" s="383">
        <v>79.268306051921726</v>
      </c>
      <c r="BA70" s="32">
        <v>792.20695275344133</v>
      </c>
      <c r="BB70" s="32">
        <v>290.74330862204295</v>
      </c>
      <c r="BC70" s="32">
        <v>108.29502613754843</v>
      </c>
      <c r="BD70" s="32">
        <v>0</v>
      </c>
      <c r="BE70" s="32">
        <v>1191.2452875130325</v>
      </c>
      <c r="BF70" s="32">
        <v>66.18579143242674</v>
      </c>
      <c r="BG70" s="32">
        <v>-14.828002879528855</v>
      </c>
      <c r="BH70" s="383">
        <v>17.99850484116746</v>
      </c>
      <c r="BI70" s="32">
        <v>2.3633245621958339</v>
      </c>
      <c r="BJ70" s="32">
        <v>0.58513752895690763</v>
      </c>
      <c r="BK70" s="32">
        <v>4.88165522472808</v>
      </c>
      <c r="BL70" s="32">
        <v>2.9315201237303166</v>
      </c>
      <c r="BM70" s="32">
        <v>10.761637439611137</v>
      </c>
      <c r="BN70" s="32">
        <v>792.20695275344133</v>
      </c>
      <c r="BO70" s="32">
        <v>0</v>
      </c>
      <c r="BP70" s="32">
        <v>290.74330862204295</v>
      </c>
      <c r="BQ70" s="32">
        <v>0</v>
      </c>
      <c r="BR70" s="32">
        <v>0</v>
      </c>
      <c r="BS70" s="32">
        <v>0</v>
      </c>
      <c r="BT70" s="32">
        <v>0</v>
      </c>
      <c r="BU70" s="32">
        <v>0</v>
      </c>
      <c r="BV70" s="32">
        <v>0</v>
      </c>
      <c r="BW70" s="32">
        <v>108.29502613754843</v>
      </c>
      <c r="BX70" s="32">
        <v>331.88878191048013</v>
      </c>
      <c r="BY70" s="32"/>
      <c r="BZ70" s="32">
        <v>0</v>
      </c>
      <c r="CA70" s="32">
        <v>-90.31623696009656</v>
      </c>
      <c r="CB70" s="32">
        <v>1191.2452875130325</v>
      </c>
      <c r="CC70" s="32">
        <v>241.57254495038359</v>
      </c>
      <c r="CD70" s="383">
        <v>3.861418626733828</v>
      </c>
      <c r="CE70" s="32">
        <v>-7.0148275310704538</v>
      </c>
      <c r="CF70" s="32">
        <v>15.691517582948913</v>
      </c>
      <c r="CG70" s="32">
        <v>0</v>
      </c>
      <c r="CH70" s="32">
        <v>15.691517582948913</v>
      </c>
      <c r="CI70" s="32">
        <v>0.7845722479088294</v>
      </c>
      <c r="CJ70" s="32">
        <v>0</v>
      </c>
      <c r="CK70" s="32">
        <v>0.7845722479088294</v>
      </c>
      <c r="CL70" s="32"/>
      <c r="CM70" s="32">
        <v>0</v>
      </c>
      <c r="CN70" s="32"/>
      <c r="CO70" s="32">
        <v>0</v>
      </c>
      <c r="CP70" s="32">
        <v>0</v>
      </c>
      <c r="CQ70" s="32">
        <v>0</v>
      </c>
      <c r="CR70" s="32">
        <v>0</v>
      </c>
      <c r="CS70" s="32">
        <v>0</v>
      </c>
      <c r="CT70" s="32">
        <v>0</v>
      </c>
      <c r="CU70" s="32">
        <v>109.58126798318446</v>
      </c>
      <c r="CV70" s="32">
        <v>9999</v>
      </c>
      <c r="CW70" s="384">
        <v>0</v>
      </c>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row>
    <row r="71" spans="1:131">
      <c r="A71" s="11" t="s">
        <v>668</v>
      </c>
      <c r="B71" s="11" t="s">
        <v>873</v>
      </c>
      <c r="C71" s="32">
        <v>16.279069767441861</v>
      </c>
      <c r="D71" s="32">
        <v>1459.85</v>
      </c>
      <c r="E71" s="32">
        <v>0</v>
      </c>
      <c r="F71" s="32">
        <v>266.0347316388702</v>
      </c>
      <c r="G71" s="32">
        <v>-28</v>
      </c>
      <c r="H71" s="32">
        <v>0</v>
      </c>
      <c r="I71" s="32" t="s">
        <v>526</v>
      </c>
      <c r="J71" s="32"/>
      <c r="K71" s="32"/>
      <c r="L71" s="32">
        <v>1651.7310482291152</v>
      </c>
      <c r="M71" s="32">
        <v>0.38608049496888885</v>
      </c>
      <c r="N71" s="32">
        <v>0.36630027985663072</v>
      </c>
      <c r="O71" s="32">
        <v>0</v>
      </c>
      <c r="P71" s="32">
        <v>0</v>
      </c>
      <c r="Q71" s="32">
        <v>0</v>
      </c>
      <c r="R71" s="32">
        <v>53.050879314331205</v>
      </c>
      <c r="S71" s="32">
        <v>13.134912118095537</v>
      </c>
      <c r="T71" s="32">
        <v>109.58126798318446</v>
      </c>
      <c r="U71" s="32">
        <v>156.12172249486898</v>
      </c>
      <c r="V71" s="32" t="s">
        <v>611</v>
      </c>
      <c r="W71" s="32" t="s">
        <v>611</v>
      </c>
      <c r="X71" s="32" t="s">
        <v>611</v>
      </c>
      <c r="Y71" s="32" t="s">
        <v>611</v>
      </c>
      <c r="Z71" s="32">
        <v>0</v>
      </c>
      <c r="AA71" s="32">
        <v>0</v>
      </c>
      <c r="AB71" s="32">
        <v>0</v>
      </c>
      <c r="AC71" s="32">
        <v>-380.52913765909528</v>
      </c>
      <c r="AD71" s="32">
        <v>0</v>
      </c>
      <c r="AE71" s="32">
        <v>0</v>
      </c>
      <c r="AF71" s="32">
        <v>0</v>
      </c>
      <c r="AG71" s="32">
        <v>0</v>
      </c>
      <c r="AH71" s="32">
        <v>53.050879314331205</v>
      </c>
      <c r="AI71" s="32">
        <v>13.134912118095537</v>
      </c>
      <c r="AJ71" s="32">
        <v>109.58126798318446</v>
      </c>
      <c r="AK71" s="32">
        <v>-224.40741516422631</v>
      </c>
      <c r="AL71" s="32">
        <v>-48.640355748615121</v>
      </c>
      <c r="AM71" s="32">
        <v>792.20695275344133</v>
      </c>
      <c r="AN71" s="32">
        <v>136.42095797340019</v>
      </c>
      <c r="AO71" s="32">
        <v>92.862791072684161</v>
      </c>
      <c r="AP71" s="32">
        <v>0</v>
      </c>
      <c r="AQ71" s="32">
        <v>1021.4907017995256</v>
      </c>
      <c r="AR71" s="32">
        <v>53.050879314331205</v>
      </c>
      <c r="AS71" s="383">
        <v>19.254924989029906</v>
      </c>
      <c r="AT71" s="32">
        <v>792.20695275344133</v>
      </c>
      <c r="AU71" s="32">
        <v>154.32235064864273</v>
      </c>
      <c r="AV71" s="32">
        <v>94.652930340208414</v>
      </c>
      <c r="AW71" s="32">
        <v>0</v>
      </c>
      <c r="AX71" s="32">
        <v>1041.1822337422925</v>
      </c>
      <c r="AY71" s="32">
        <v>13.134912118095537</v>
      </c>
      <c r="AZ71" s="383">
        <v>79.268306051921726</v>
      </c>
      <c r="BA71" s="32">
        <v>792.20695275344133</v>
      </c>
      <c r="BB71" s="32">
        <v>290.74330862204295</v>
      </c>
      <c r="BC71" s="32">
        <v>108.29502613754843</v>
      </c>
      <c r="BD71" s="32">
        <v>0</v>
      </c>
      <c r="BE71" s="32">
        <v>1191.2452875130325</v>
      </c>
      <c r="BF71" s="32">
        <v>66.18579143242674</v>
      </c>
      <c r="BG71" s="32">
        <v>-14.828002879528855</v>
      </c>
      <c r="BH71" s="383">
        <v>17.99850484116746</v>
      </c>
      <c r="BI71" s="32">
        <v>2.3633245621958339</v>
      </c>
      <c r="BJ71" s="32">
        <v>0.58513752895690763</v>
      </c>
      <c r="BK71" s="32">
        <v>4.88165522472808</v>
      </c>
      <c r="BL71" s="32">
        <v>-9.9969607111342516</v>
      </c>
      <c r="BM71" s="32">
        <v>-2.1668433952534309</v>
      </c>
      <c r="BN71" s="32">
        <v>792.20695275344133</v>
      </c>
      <c r="BO71" s="32">
        <v>0</v>
      </c>
      <c r="BP71" s="32">
        <v>290.74330862204295</v>
      </c>
      <c r="BQ71" s="32">
        <v>0</v>
      </c>
      <c r="BR71" s="32">
        <v>0</v>
      </c>
      <c r="BS71" s="32">
        <v>0</v>
      </c>
      <c r="BT71" s="32">
        <v>0</v>
      </c>
      <c r="BU71" s="32">
        <v>0</v>
      </c>
      <c r="BV71" s="32">
        <v>0</v>
      </c>
      <c r="BW71" s="32">
        <v>108.29502613754843</v>
      </c>
      <c r="BX71" s="32">
        <v>331.88878191048013</v>
      </c>
      <c r="BY71" s="32"/>
      <c r="BZ71" s="32">
        <v>-380.52913765909528</v>
      </c>
      <c r="CA71" s="32">
        <v>0</v>
      </c>
      <c r="CB71" s="32">
        <v>1191.2452875130325</v>
      </c>
      <c r="CC71" s="32">
        <v>-48.64035574861515</v>
      </c>
      <c r="CD71" s="383">
        <v>4.7358467982086845</v>
      </c>
      <c r="CE71" s="32">
        <v>-19.943308365935021</v>
      </c>
      <c r="CF71" s="32">
        <v>15.691517582948913</v>
      </c>
      <c r="CG71" s="32">
        <v>0</v>
      </c>
      <c r="CH71" s="32">
        <v>15.691517582948913</v>
      </c>
      <c r="CI71" s="32">
        <v>0.7845722479088294</v>
      </c>
      <c r="CJ71" s="32">
        <v>0</v>
      </c>
      <c r="CK71" s="32">
        <v>0.7845722479088294</v>
      </c>
      <c r="CL71" s="32"/>
      <c r="CM71" s="32">
        <v>0</v>
      </c>
      <c r="CN71" s="32"/>
      <c r="CO71" s="32">
        <v>0</v>
      </c>
      <c r="CP71" s="32">
        <v>0</v>
      </c>
      <c r="CQ71" s="32">
        <v>0</v>
      </c>
      <c r="CR71" s="32">
        <v>0</v>
      </c>
      <c r="CS71" s="32">
        <v>0</v>
      </c>
      <c r="CT71" s="32">
        <v>0</v>
      </c>
      <c r="CU71" s="32">
        <v>109.58126798318446</v>
      </c>
      <c r="CV71" s="32">
        <v>9999</v>
      </c>
      <c r="CW71" s="384">
        <v>0</v>
      </c>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row>
    <row r="72" spans="1:131">
      <c r="A72" s="11" t="s">
        <v>669</v>
      </c>
      <c r="B72" s="11" t="s">
        <v>531</v>
      </c>
      <c r="C72" s="32">
        <v>16.279069767441861</v>
      </c>
      <c r="D72" s="32">
        <v>84.924999999999983</v>
      </c>
      <c r="E72" s="32">
        <v>0</v>
      </c>
      <c r="F72" s="32">
        <v>28.35202601226743</v>
      </c>
      <c r="G72" s="32">
        <v>0</v>
      </c>
      <c r="H72" s="32">
        <v>-37.995719934850655</v>
      </c>
      <c r="I72" s="32" t="s">
        <v>526</v>
      </c>
      <c r="J72" s="32"/>
      <c r="K72" s="32"/>
      <c r="L72" s="32">
        <v>96.087446841016259</v>
      </c>
      <c r="M72" s="32">
        <v>2.2459763698484694E-2</v>
      </c>
      <c r="N72" s="32">
        <v>2.130907371772741E-2</v>
      </c>
      <c r="O72" s="32">
        <v>0</v>
      </c>
      <c r="P72" s="32">
        <v>0</v>
      </c>
      <c r="Q72" s="32">
        <v>0</v>
      </c>
      <c r="R72" s="32">
        <v>5.6537727274471976</v>
      </c>
      <c r="S72" s="32">
        <v>1.3998223756235293</v>
      </c>
      <c r="T72" s="32">
        <v>11.678365983182603</v>
      </c>
      <c r="U72" s="32">
        <v>16.638305494874672</v>
      </c>
      <c r="V72" s="32" t="s">
        <v>611</v>
      </c>
      <c r="W72" s="32" t="s">
        <v>611</v>
      </c>
      <c r="X72" s="32" t="s">
        <v>611</v>
      </c>
      <c r="Y72" s="32" t="s">
        <v>611</v>
      </c>
      <c r="Z72" s="32">
        <v>0</v>
      </c>
      <c r="AA72" s="32">
        <v>0</v>
      </c>
      <c r="AB72" s="32">
        <v>0</v>
      </c>
      <c r="AC72" s="32">
        <v>0</v>
      </c>
      <c r="AD72" s="32">
        <v>0</v>
      </c>
      <c r="AE72" s="32">
        <v>0</v>
      </c>
      <c r="AF72" s="32">
        <v>0</v>
      </c>
      <c r="AG72" s="32">
        <v>-37.995719934850655</v>
      </c>
      <c r="AH72" s="32">
        <v>5.6537727274471976</v>
      </c>
      <c r="AI72" s="32">
        <v>1.3998223756235293</v>
      </c>
      <c r="AJ72" s="32">
        <v>11.678365983182603</v>
      </c>
      <c r="AK72" s="32">
        <v>-21.357414439975983</v>
      </c>
      <c r="AL72" s="32">
        <v>-2.625453353722655</v>
      </c>
      <c r="AM72" s="32">
        <v>46.085676927482965</v>
      </c>
      <c r="AN72" s="32">
        <v>7.9361234756248979</v>
      </c>
      <c r="AO72" s="32">
        <v>5.4021800403107862</v>
      </c>
      <c r="AP72" s="32">
        <v>0</v>
      </c>
      <c r="AQ72" s="32">
        <v>59.42398044341865</v>
      </c>
      <c r="AR72" s="32">
        <v>5.6537727274471976</v>
      </c>
      <c r="AS72" s="383">
        <v>10.510500387632291</v>
      </c>
      <c r="AT72" s="32">
        <v>46.085676927482965</v>
      </c>
      <c r="AU72" s="32">
        <v>8.9775152439195693</v>
      </c>
      <c r="AV72" s="32">
        <v>5.5063192171402537</v>
      </c>
      <c r="AW72" s="32">
        <v>0</v>
      </c>
      <c r="AX72" s="32">
        <v>60.569511388542786</v>
      </c>
      <c r="AY72" s="32">
        <v>1.3998223756235293</v>
      </c>
      <c r="AZ72" s="383">
        <v>43.269426495317333</v>
      </c>
      <c r="BA72" s="32">
        <v>46.085676927482965</v>
      </c>
      <c r="BB72" s="32">
        <v>16.913638719544466</v>
      </c>
      <c r="BC72" s="32">
        <v>6.2999315647027432</v>
      </c>
      <c r="BD72" s="32">
        <v>0</v>
      </c>
      <c r="BE72" s="32">
        <v>69.299247211730176</v>
      </c>
      <c r="BF72" s="32">
        <v>7.0535951030707267</v>
      </c>
      <c r="BG72" s="32">
        <v>-12.374969865372588</v>
      </c>
      <c r="BH72" s="383">
        <v>9.8246704267957341</v>
      </c>
      <c r="BI72" s="32">
        <v>4.3295405063073131</v>
      </c>
      <c r="BJ72" s="32">
        <v>1.0719545990016988</v>
      </c>
      <c r="BK72" s="32">
        <v>8.9430475912498064</v>
      </c>
      <c r="BL72" s="32">
        <v>-16.355059777866234</v>
      </c>
      <c r="BM72" s="32">
        <v>-2.0105170813074174</v>
      </c>
      <c r="BN72" s="32">
        <v>46.085676927482965</v>
      </c>
      <c r="BO72" s="32">
        <v>0</v>
      </c>
      <c r="BP72" s="32">
        <v>16.913638719544466</v>
      </c>
      <c r="BQ72" s="32">
        <v>0</v>
      </c>
      <c r="BR72" s="32">
        <v>0</v>
      </c>
      <c r="BS72" s="32">
        <v>0</v>
      </c>
      <c r="BT72" s="32">
        <v>0</v>
      </c>
      <c r="BU72" s="32">
        <v>0</v>
      </c>
      <c r="BV72" s="32">
        <v>0</v>
      </c>
      <c r="BW72" s="32">
        <v>6.2999315647027432</v>
      </c>
      <c r="BX72" s="32">
        <v>35.370266581128</v>
      </c>
      <c r="BY72" s="32"/>
      <c r="BZ72" s="32">
        <v>0</v>
      </c>
      <c r="CA72" s="32">
        <v>-37.995719934850655</v>
      </c>
      <c r="CB72" s="32">
        <v>69.299247211730176</v>
      </c>
      <c r="CC72" s="32">
        <v>-2.625453353722655</v>
      </c>
      <c r="CD72" s="383">
        <v>3.0334791766547964</v>
      </c>
      <c r="CE72" s="32">
        <v>-19.786982051989021</v>
      </c>
      <c r="CF72" s="32">
        <v>0.91283496984754209</v>
      </c>
      <c r="CG72" s="32">
        <v>0</v>
      </c>
      <c r="CH72" s="32">
        <v>0.91283496984754209</v>
      </c>
      <c r="CI72" s="32">
        <v>4.5641537249482722E-2</v>
      </c>
      <c r="CJ72" s="32">
        <v>0</v>
      </c>
      <c r="CK72" s="32">
        <v>4.5641537249482722E-2</v>
      </c>
      <c r="CL72" s="32"/>
      <c r="CM72" s="32">
        <v>0</v>
      </c>
      <c r="CN72" s="32"/>
      <c r="CO72" s="32">
        <v>0</v>
      </c>
      <c r="CP72" s="32">
        <v>0</v>
      </c>
      <c r="CQ72" s="32">
        <v>0</v>
      </c>
      <c r="CR72" s="32">
        <v>0</v>
      </c>
      <c r="CS72" s="32">
        <v>0</v>
      </c>
      <c r="CT72" s="32">
        <v>0</v>
      </c>
      <c r="CU72" s="32">
        <v>11.678365983182603</v>
      </c>
      <c r="CV72" s="32">
        <v>9999</v>
      </c>
      <c r="CW72" s="384">
        <v>0</v>
      </c>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row>
    <row r="73" spans="1:131">
      <c r="A73" s="11" t="s">
        <v>669</v>
      </c>
      <c r="B73" s="11" t="s">
        <v>532</v>
      </c>
      <c r="C73" s="32">
        <v>16.279069767441861</v>
      </c>
      <c r="D73" s="32">
        <v>84.924999999999983</v>
      </c>
      <c r="E73" s="32">
        <v>0</v>
      </c>
      <c r="F73" s="32">
        <v>28.35202601226743</v>
      </c>
      <c r="G73" s="32">
        <v>-14</v>
      </c>
      <c r="H73" s="32">
        <v>0</v>
      </c>
      <c r="I73" s="32" t="s">
        <v>526</v>
      </c>
      <c r="J73" s="32"/>
      <c r="K73" s="32"/>
      <c r="L73" s="32">
        <v>96.087446841016259</v>
      </c>
      <c r="M73" s="32">
        <v>2.2459763698484694E-2</v>
      </c>
      <c r="N73" s="32">
        <v>2.130907371772741E-2</v>
      </c>
      <c r="O73" s="32">
        <v>0</v>
      </c>
      <c r="P73" s="32">
        <v>0</v>
      </c>
      <c r="Q73" s="32">
        <v>0</v>
      </c>
      <c r="R73" s="32">
        <v>5.6537727274471976</v>
      </c>
      <c r="S73" s="32">
        <v>1.3998223756235293</v>
      </c>
      <c r="T73" s="32">
        <v>11.678365983182603</v>
      </c>
      <c r="U73" s="32">
        <v>16.638305494874672</v>
      </c>
      <c r="V73" s="32" t="s">
        <v>611</v>
      </c>
      <c r="W73" s="32" t="s">
        <v>611</v>
      </c>
      <c r="X73" s="32" t="s">
        <v>611</v>
      </c>
      <c r="Y73" s="32" t="s">
        <v>611</v>
      </c>
      <c r="Z73" s="32">
        <v>0</v>
      </c>
      <c r="AA73" s="32">
        <v>0</v>
      </c>
      <c r="AB73" s="32">
        <v>0</v>
      </c>
      <c r="AC73" s="32">
        <v>-190.26456882954764</v>
      </c>
      <c r="AD73" s="32">
        <v>0</v>
      </c>
      <c r="AE73" s="32">
        <v>0</v>
      </c>
      <c r="AF73" s="32">
        <v>0</v>
      </c>
      <c r="AG73" s="32">
        <v>0</v>
      </c>
      <c r="AH73" s="32">
        <v>5.6537727274471976</v>
      </c>
      <c r="AI73" s="32">
        <v>1.3998223756235293</v>
      </c>
      <c r="AJ73" s="32">
        <v>11.678365983182603</v>
      </c>
      <c r="AK73" s="32">
        <v>-173.62626333467296</v>
      </c>
      <c r="AL73" s="32">
        <v>-154.89430224841965</v>
      </c>
      <c r="AM73" s="32">
        <v>46.085676927482965</v>
      </c>
      <c r="AN73" s="32">
        <v>7.9361234756248979</v>
      </c>
      <c r="AO73" s="32">
        <v>5.4021800403107862</v>
      </c>
      <c r="AP73" s="32">
        <v>0</v>
      </c>
      <c r="AQ73" s="32">
        <v>59.42398044341865</v>
      </c>
      <c r="AR73" s="32">
        <v>5.6537727274471976</v>
      </c>
      <c r="AS73" s="383">
        <v>10.510500387632291</v>
      </c>
      <c r="AT73" s="32">
        <v>46.085676927482965</v>
      </c>
      <c r="AU73" s="32">
        <v>8.9775152439195693</v>
      </c>
      <c r="AV73" s="32">
        <v>5.5063192171402537</v>
      </c>
      <c r="AW73" s="32">
        <v>0</v>
      </c>
      <c r="AX73" s="32">
        <v>60.569511388542786</v>
      </c>
      <c r="AY73" s="32">
        <v>1.3998223756235293</v>
      </c>
      <c r="AZ73" s="383">
        <v>43.269426495317333</v>
      </c>
      <c r="BA73" s="32">
        <v>46.085676927482965</v>
      </c>
      <c r="BB73" s="32">
        <v>16.913638719544466</v>
      </c>
      <c r="BC73" s="32">
        <v>6.2999315647027432</v>
      </c>
      <c r="BD73" s="32">
        <v>0</v>
      </c>
      <c r="BE73" s="32">
        <v>69.299247211730176</v>
      </c>
      <c r="BF73" s="32">
        <v>7.0535951030707267</v>
      </c>
      <c r="BG73" s="32">
        <v>-12.374969865372588</v>
      </c>
      <c r="BH73" s="383">
        <v>9.8246704267957341</v>
      </c>
      <c r="BI73" s="32">
        <v>4.3295405063073131</v>
      </c>
      <c r="BJ73" s="32">
        <v>1.0719545990016988</v>
      </c>
      <c r="BK73" s="32">
        <v>8.9430475912498064</v>
      </c>
      <c r="BL73" s="32">
        <v>-132.95934879322004</v>
      </c>
      <c r="BM73" s="32">
        <v>-118.61480609666123</v>
      </c>
      <c r="BN73" s="32">
        <v>46.085676927482965</v>
      </c>
      <c r="BO73" s="32">
        <v>0</v>
      </c>
      <c r="BP73" s="32">
        <v>16.913638719544466</v>
      </c>
      <c r="BQ73" s="32">
        <v>0</v>
      </c>
      <c r="BR73" s="32">
        <v>0</v>
      </c>
      <c r="BS73" s="32">
        <v>0</v>
      </c>
      <c r="BT73" s="32">
        <v>0</v>
      </c>
      <c r="BU73" s="32">
        <v>0</v>
      </c>
      <c r="BV73" s="32">
        <v>0</v>
      </c>
      <c r="BW73" s="32">
        <v>6.2999315647027432</v>
      </c>
      <c r="BX73" s="32">
        <v>35.370266581128</v>
      </c>
      <c r="BY73" s="32"/>
      <c r="BZ73" s="32">
        <v>-190.26456882954764</v>
      </c>
      <c r="CA73" s="32">
        <v>0</v>
      </c>
      <c r="CB73" s="32">
        <v>69.299247211730176</v>
      </c>
      <c r="CC73" s="32">
        <v>-154.89430224841965</v>
      </c>
      <c r="CD73" s="383">
        <v>7.3384749715109452</v>
      </c>
      <c r="CE73" s="32">
        <v>-136.39127106734284</v>
      </c>
      <c r="CF73" s="32">
        <v>0.91283496984754209</v>
      </c>
      <c r="CG73" s="32">
        <v>0</v>
      </c>
      <c r="CH73" s="32">
        <v>0.91283496984754209</v>
      </c>
      <c r="CI73" s="32">
        <v>4.5641537249482722E-2</v>
      </c>
      <c r="CJ73" s="32">
        <v>0</v>
      </c>
      <c r="CK73" s="32">
        <v>4.5641537249482722E-2</v>
      </c>
      <c r="CL73" s="32"/>
      <c r="CM73" s="32">
        <v>0</v>
      </c>
      <c r="CN73" s="32"/>
      <c r="CO73" s="32">
        <v>0</v>
      </c>
      <c r="CP73" s="32">
        <v>0</v>
      </c>
      <c r="CQ73" s="32">
        <v>0</v>
      </c>
      <c r="CR73" s="32">
        <v>0</v>
      </c>
      <c r="CS73" s="32">
        <v>0</v>
      </c>
      <c r="CT73" s="32">
        <v>0</v>
      </c>
      <c r="CU73" s="32">
        <v>11.678365983182603</v>
      </c>
      <c r="CV73" s="32">
        <v>9999</v>
      </c>
      <c r="CW73" s="384">
        <v>0</v>
      </c>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row>
    <row r="74" spans="1:131">
      <c r="A74" s="11" t="s">
        <v>669</v>
      </c>
      <c r="B74" s="11" t="s">
        <v>533</v>
      </c>
      <c r="C74" s="32">
        <v>16.279069767441861</v>
      </c>
      <c r="D74" s="32">
        <v>67.724999999999994</v>
      </c>
      <c r="E74" s="32">
        <v>0</v>
      </c>
      <c r="F74" s="32">
        <v>28.35202601226743</v>
      </c>
      <c r="G74" s="32">
        <v>0</v>
      </c>
      <c r="H74" s="32">
        <v>-37.995719934850655</v>
      </c>
      <c r="I74" s="32" t="s">
        <v>526</v>
      </c>
      <c r="J74" s="32"/>
      <c r="K74" s="32"/>
      <c r="L74" s="32">
        <v>76.626698113721829</v>
      </c>
      <c r="M74" s="32">
        <v>1.791095079752577E-2</v>
      </c>
      <c r="N74" s="32">
        <v>1.6993311952111734E-2</v>
      </c>
      <c r="O74" s="32">
        <v>0</v>
      </c>
      <c r="P74" s="32">
        <v>0</v>
      </c>
      <c r="Q74" s="32">
        <v>0</v>
      </c>
      <c r="R74" s="32">
        <v>5.6537727274471976</v>
      </c>
      <c r="S74" s="32">
        <v>1.3998223756235293</v>
      </c>
      <c r="T74" s="32">
        <v>11.678365983182603</v>
      </c>
      <c r="U74" s="32">
        <v>16.638305494874672</v>
      </c>
      <c r="V74" s="32" t="s">
        <v>611</v>
      </c>
      <c r="W74" s="32" t="s">
        <v>611</v>
      </c>
      <c r="X74" s="32" t="s">
        <v>611</v>
      </c>
      <c r="Y74" s="32" t="s">
        <v>611</v>
      </c>
      <c r="Z74" s="32">
        <v>0</v>
      </c>
      <c r="AA74" s="32">
        <v>0</v>
      </c>
      <c r="AB74" s="32">
        <v>0</v>
      </c>
      <c r="AC74" s="32">
        <v>0</v>
      </c>
      <c r="AD74" s="32">
        <v>0</v>
      </c>
      <c r="AE74" s="32">
        <v>0</v>
      </c>
      <c r="AF74" s="32">
        <v>0</v>
      </c>
      <c r="AG74" s="32">
        <v>-37.995719934850655</v>
      </c>
      <c r="AH74" s="32">
        <v>5.6537727274471976</v>
      </c>
      <c r="AI74" s="32">
        <v>1.3998223756235293</v>
      </c>
      <c r="AJ74" s="32">
        <v>11.678365983182603</v>
      </c>
      <c r="AK74" s="32">
        <v>-21.357414439975983</v>
      </c>
      <c r="AL74" s="32">
        <v>-2.625453353722655</v>
      </c>
      <c r="AM74" s="32">
        <v>36.751868942169999</v>
      </c>
      <c r="AN74" s="32">
        <v>6.3288073286628945</v>
      </c>
      <c r="AO74" s="32">
        <v>4.3080676270832896</v>
      </c>
      <c r="AP74" s="32">
        <v>0</v>
      </c>
      <c r="AQ74" s="32">
        <v>47.388743897916186</v>
      </c>
      <c r="AR74" s="32">
        <v>5.6537727274471976</v>
      </c>
      <c r="AS74" s="383">
        <v>8.381791448365</v>
      </c>
      <c r="AT74" s="32">
        <v>36.751868942169999</v>
      </c>
      <c r="AU74" s="32">
        <v>7.1592843084421878</v>
      </c>
      <c r="AV74" s="32">
        <v>4.3911153250612189</v>
      </c>
      <c r="AW74" s="32">
        <v>0</v>
      </c>
      <c r="AX74" s="32">
        <v>48.302268575673409</v>
      </c>
      <c r="AY74" s="32">
        <v>1.3998223756235293</v>
      </c>
      <c r="AZ74" s="383">
        <v>34.505998344367022</v>
      </c>
      <c r="BA74" s="32">
        <v>36.751868942169999</v>
      </c>
      <c r="BB74" s="32">
        <v>13.488091637105082</v>
      </c>
      <c r="BC74" s="32">
        <v>5.0239960579275085</v>
      </c>
      <c r="BD74" s="32">
        <v>0</v>
      </c>
      <c r="BE74" s="32">
        <v>55.263956637202597</v>
      </c>
      <c r="BF74" s="32">
        <v>7.0535951030707267</v>
      </c>
      <c r="BG74" s="32">
        <v>-11.0031615846592</v>
      </c>
      <c r="BH74" s="383">
        <v>7.8348637580776179</v>
      </c>
      <c r="BI74" s="32">
        <v>5.4291063491790119</v>
      </c>
      <c r="BJ74" s="32">
        <v>1.3441970368434002</v>
      </c>
      <c r="BK74" s="32">
        <v>11.21429777315452</v>
      </c>
      <c r="BL74" s="32">
        <v>-20.508725753197343</v>
      </c>
      <c r="BM74" s="32">
        <v>-2.5211245940204128</v>
      </c>
      <c r="BN74" s="32">
        <v>36.751868942169999</v>
      </c>
      <c r="BO74" s="32">
        <v>0</v>
      </c>
      <c r="BP74" s="32">
        <v>13.488091637105082</v>
      </c>
      <c r="BQ74" s="32">
        <v>0</v>
      </c>
      <c r="BR74" s="32">
        <v>0</v>
      </c>
      <c r="BS74" s="32">
        <v>0</v>
      </c>
      <c r="BT74" s="32">
        <v>0</v>
      </c>
      <c r="BU74" s="32">
        <v>0</v>
      </c>
      <c r="BV74" s="32">
        <v>0</v>
      </c>
      <c r="BW74" s="32">
        <v>5.0239960579275085</v>
      </c>
      <c r="BX74" s="32">
        <v>35.370266581128</v>
      </c>
      <c r="BY74" s="32"/>
      <c r="BZ74" s="32">
        <v>0</v>
      </c>
      <c r="CA74" s="32">
        <v>-37.995719934850655</v>
      </c>
      <c r="CB74" s="32">
        <v>55.26395663720259</v>
      </c>
      <c r="CC74" s="32">
        <v>-2.625453353722655</v>
      </c>
      <c r="CD74" s="383">
        <v>2.6366687499554344</v>
      </c>
      <c r="CE74" s="32">
        <v>-20.297589564702019</v>
      </c>
      <c r="CF74" s="32">
        <v>0.72795700127082397</v>
      </c>
      <c r="CG74" s="32">
        <v>0</v>
      </c>
      <c r="CH74" s="32">
        <v>0.72795700127082397</v>
      </c>
      <c r="CI74" s="32">
        <v>3.6397681604017865E-2</v>
      </c>
      <c r="CJ74" s="32">
        <v>0</v>
      </c>
      <c r="CK74" s="32">
        <v>3.6397681604017865E-2</v>
      </c>
      <c r="CL74" s="32"/>
      <c r="CM74" s="32">
        <v>0</v>
      </c>
      <c r="CN74" s="32"/>
      <c r="CO74" s="32">
        <v>0</v>
      </c>
      <c r="CP74" s="32">
        <v>0</v>
      </c>
      <c r="CQ74" s="32">
        <v>0</v>
      </c>
      <c r="CR74" s="32">
        <v>0</v>
      </c>
      <c r="CS74" s="32">
        <v>0</v>
      </c>
      <c r="CT74" s="32">
        <v>0</v>
      </c>
      <c r="CU74" s="32">
        <v>11.678365983182603</v>
      </c>
      <c r="CV74" s="32">
        <v>9999</v>
      </c>
      <c r="CW74" s="384">
        <v>0</v>
      </c>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row>
    <row r="75" spans="1:131">
      <c r="A75" s="11" t="s">
        <v>669</v>
      </c>
      <c r="B75" s="11" t="s">
        <v>534</v>
      </c>
      <c r="C75" s="32">
        <v>16.279069767441861</v>
      </c>
      <c r="D75" s="32">
        <v>67.724999999999994</v>
      </c>
      <c r="E75" s="32">
        <v>0</v>
      </c>
      <c r="F75" s="32">
        <v>28.35202601226743</v>
      </c>
      <c r="G75" s="32">
        <v>-14</v>
      </c>
      <c r="H75" s="32">
        <v>0</v>
      </c>
      <c r="I75" s="32" t="s">
        <v>526</v>
      </c>
      <c r="J75" s="32"/>
      <c r="K75" s="32"/>
      <c r="L75" s="32">
        <v>76.626698113721829</v>
      </c>
      <c r="M75" s="32">
        <v>1.791095079752577E-2</v>
      </c>
      <c r="N75" s="32">
        <v>1.6993311952111734E-2</v>
      </c>
      <c r="O75" s="32">
        <v>0</v>
      </c>
      <c r="P75" s="32">
        <v>0</v>
      </c>
      <c r="Q75" s="32">
        <v>0</v>
      </c>
      <c r="R75" s="32">
        <v>5.6537727274471976</v>
      </c>
      <c r="S75" s="32">
        <v>1.3998223756235293</v>
      </c>
      <c r="T75" s="32">
        <v>11.678365983182603</v>
      </c>
      <c r="U75" s="32">
        <v>16.638305494874672</v>
      </c>
      <c r="V75" s="32" t="s">
        <v>611</v>
      </c>
      <c r="W75" s="32" t="s">
        <v>611</v>
      </c>
      <c r="X75" s="32" t="s">
        <v>611</v>
      </c>
      <c r="Y75" s="32" t="s">
        <v>611</v>
      </c>
      <c r="Z75" s="32">
        <v>0</v>
      </c>
      <c r="AA75" s="32">
        <v>0</v>
      </c>
      <c r="AB75" s="32">
        <v>0</v>
      </c>
      <c r="AC75" s="32">
        <v>-190.26456882954764</v>
      </c>
      <c r="AD75" s="32">
        <v>0</v>
      </c>
      <c r="AE75" s="32">
        <v>0</v>
      </c>
      <c r="AF75" s="32">
        <v>0</v>
      </c>
      <c r="AG75" s="32">
        <v>0</v>
      </c>
      <c r="AH75" s="32">
        <v>5.6537727274471976</v>
      </c>
      <c r="AI75" s="32">
        <v>1.3998223756235293</v>
      </c>
      <c r="AJ75" s="32">
        <v>11.678365983182603</v>
      </c>
      <c r="AK75" s="32">
        <v>-173.62626333467296</v>
      </c>
      <c r="AL75" s="32">
        <v>-154.89430224841965</v>
      </c>
      <c r="AM75" s="32">
        <v>36.751868942169999</v>
      </c>
      <c r="AN75" s="32">
        <v>6.3288073286628945</v>
      </c>
      <c r="AO75" s="32">
        <v>4.3080676270832896</v>
      </c>
      <c r="AP75" s="32">
        <v>0</v>
      </c>
      <c r="AQ75" s="32">
        <v>47.388743897916186</v>
      </c>
      <c r="AR75" s="32">
        <v>5.6537727274471976</v>
      </c>
      <c r="AS75" s="383">
        <v>8.381791448365</v>
      </c>
      <c r="AT75" s="32">
        <v>36.751868942169999</v>
      </c>
      <c r="AU75" s="32">
        <v>7.1592843084421878</v>
      </c>
      <c r="AV75" s="32">
        <v>4.3911153250612189</v>
      </c>
      <c r="AW75" s="32">
        <v>0</v>
      </c>
      <c r="AX75" s="32">
        <v>48.302268575673409</v>
      </c>
      <c r="AY75" s="32">
        <v>1.3998223756235293</v>
      </c>
      <c r="AZ75" s="383">
        <v>34.505998344367022</v>
      </c>
      <c r="BA75" s="32">
        <v>36.751868942169999</v>
      </c>
      <c r="BB75" s="32">
        <v>13.488091637105082</v>
      </c>
      <c r="BC75" s="32">
        <v>5.0239960579275085</v>
      </c>
      <c r="BD75" s="32">
        <v>0</v>
      </c>
      <c r="BE75" s="32">
        <v>55.263956637202597</v>
      </c>
      <c r="BF75" s="32">
        <v>7.0535951030707267</v>
      </c>
      <c r="BG75" s="32">
        <v>-11.0031615846592</v>
      </c>
      <c r="BH75" s="383">
        <v>7.8348637580776179</v>
      </c>
      <c r="BI75" s="32">
        <v>5.4291063491790119</v>
      </c>
      <c r="BJ75" s="32">
        <v>1.3441970368434002</v>
      </c>
      <c r="BK75" s="32">
        <v>11.21429777315452</v>
      </c>
      <c r="BL75" s="32">
        <v>-166.72680245499021</v>
      </c>
      <c r="BM75" s="32">
        <v>-148.7392012958133</v>
      </c>
      <c r="BN75" s="32">
        <v>36.751868942169999</v>
      </c>
      <c r="BO75" s="32">
        <v>0</v>
      </c>
      <c r="BP75" s="32">
        <v>13.488091637105082</v>
      </c>
      <c r="BQ75" s="32">
        <v>0</v>
      </c>
      <c r="BR75" s="32">
        <v>0</v>
      </c>
      <c r="BS75" s="32">
        <v>0</v>
      </c>
      <c r="BT75" s="32">
        <v>0</v>
      </c>
      <c r="BU75" s="32">
        <v>0</v>
      </c>
      <c r="BV75" s="32">
        <v>0</v>
      </c>
      <c r="BW75" s="32">
        <v>5.0239960579275085</v>
      </c>
      <c r="BX75" s="32">
        <v>35.370266581128</v>
      </c>
      <c r="BY75" s="32"/>
      <c r="BZ75" s="32">
        <v>-190.26456882954764</v>
      </c>
      <c r="CA75" s="32">
        <v>0</v>
      </c>
      <c r="CB75" s="32">
        <v>55.26395663720259</v>
      </c>
      <c r="CC75" s="32">
        <v>-154.89430224841965</v>
      </c>
      <c r="CD75" s="383">
        <v>6.9416645448115828</v>
      </c>
      <c r="CE75" s="32">
        <v>-166.51566626649489</v>
      </c>
      <c r="CF75" s="32">
        <v>0.72795700127082397</v>
      </c>
      <c r="CG75" s="32">
        <v>0</v>
      </c>
      <c r="CH75" s="32">
        <v>0.72795700127082397</v>
      </c>
      <c r="CI75" s="32">
        <v>3.6397681604017865E-2</v>
      </c>
      <c r="CJ75" s="32">
        <v>0</v>
      </c>
      <c r="CK75" s="32">
        <v>3.6397681604017865E-2</v>
      </c>
      <c r="CL75" s="32"/>
      <c r="CM75" s="32">
        <v>0</v>
      </c>
      <c r="CN75" s="32"/>
      <c r="CO75" s="32">
        <v>0</v>
      </c>
      <c r="CP75" s="32">
        <v>0</v>
      </c>
      <c r="CQ75" s="32">
        <v>0</v>
      </c>
      <c r="CR75" s="32">
        <v>0</v>
      </c>
      <c r="CS75" s="32">
        <v>0</v>
      </c>
      <c r="CT75" s="32">
        <v>0</v>
      </c>
      <c r="CU75" s="32">
        <v>11.678365983182603</v>
      </c>
      <c r="CV75" s="32">
        <v>9999</v>
      </c>
      <c r="CW75" s="384">
        <v>0</v>
      </c>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row>
    <row r="76" spans="1:131">
      <c r="A76" s="11" t="s">
        <v>670</v>
      </c>
      <c r="B76" s="11" t="s">
        <v>844</v>
      </c>
      <c r="C76" s="32">
        <v>16.279069767441861</v>
      </c>
      <c r="D76" s="32">
        <v>204.25</v>
      </c>
      <c r="E76" s="32">
        <v>0</v>
      </c>
      <c r="F76" s="32">
        <v>81.005788606478362</v>
      </c>
      <c r="G76" s="32">
        <v>0</v>
      </c>
      <c r="H76" s="32">
        <v>-78.952145319170185</v>
      </c>
      <c r="I76" s="32" t="s">
        <v>526</v>
      </c>
      <c r="J76" s="32"/>
      <c r="K76" s="32"/>
      <c r="L76" s="32">
        <v>231.09639113662143</v>
      </c>
      <c r="M76" s="32">
        <v>5.4017153198887245E-2</v>
      </c>
      <c r="N76" s="32">
        <v>5.1249670966686187E-2</v>
      </c>
      <c r="O76" s="32">
        <v>0</v>
      </c>
      <c r="P76" s="32">
        <v>0</v>
      </c>
      <c r="Q76" s="32">
        <v>0</v>
      </c>
      <c r="R76" s="32">
        <v>16.153636364134851</v>
      </c>
      <c r="S76" s="32">
        <v>3.9994925017815115</v>
      </c>
      <c r="T76" s="32">
        <v>33.366759951950286</v>
      </c>
      <c r="U76" s="32">
        <v>47.538015699641917</v>
      </c>
      <c r="V76" s="32" t="s">
        <v>611</v>
      </c>
      <c r="W76" s="32" t="s">
        <v>611</v>
      </c>
      <c r="X76" s="32" t="s">
        <v>611</v>
      </c>
      <c r="Y76" s="32" t="s">
        <v>611</v>
      </c>
      <c r="Z76" s="32">
        <v>0</v>
      </c>
      <c r="AA76" s="32">
        <v>0</v>
      </c>
      <c r="AB76" s="32">
        <v>0</v>
      </c>
      <c r="AC76" s="32">
        <v>0</v>
      </c>
      <c r="AD76" s="32">
        <v>0</v>
      </c>
      <c r="AE76" s="32">
        <v>0</v>
      </c>
      <c r="AF76" s="32">
        <v>0</v>
      </c>
      <c r="AG76" s="32">
        <v>-78.952145319170185</v>
      </c>
      <c r="AH76" s="32">
        <v>16.153636364134851</v>
      </c>
      <c r="AI76" s="32">
        <v>3.9994925017815115</v>
      </c>
      <c r="AJ76" s="32">
        <v>33.366759951950286</v>
      </c>
      <c r="AK76" s="32">
        <v>-31.414129619528268</v>
      </c>
      <c r="AL76" s="32">
        <v>22.105759198338376</v>
      </c>
      <c r="AM76" s="32">
        <v>110.83896982559205</v>
      </c>
      <c r="AN76" s="32">
        <v>19.086879245173812</v>
      </c>
      <c r="AO76" s="32">
        <v>12.992584907076587</v>
      </c>
      <c r="AP76" s="32">
        <v>0</v>
      </c>
      <c r="AQ76" s="32">
        <v>142.91843397784243</v>
      </c>
      <c r="AR76" s="32">
        <v>16.153636364134851</v>
      </c>
      <c r="AS76" s="383">
        <v>8.8474465288297193</v>
      </c>
      <c r="AT76" s="32">
        <v>110.83896982559205</v>
      </c>
      <c r="AU76" s="32">
        <v>21.591492358793907</v>
      </c>
      <c r="AV76" s="32">
        <v>13.243046218438597</v>
      </c>
      <c r="AW76" s="32">
        <v>0</v>
      </c>
      <c r="AX76" s="32">
        <v>145.67350840282455</v>
      </c>
      <c r="AY76" s="32">
        <v>3.9994925017815115</v>
      </c>
      <c r="AZ76" s="383">
        <v>36.422998252387416</v>
      </c>
      <c r="BA76" s="32">
        <v>110.83896982559205</v>
      </c>
      <c r="BB76" s="32">
        <v>40.678371603967719</v>
      </c>
      <c r="BC76" s="32">
        <v>15.151734142955977</v>
      </c>
      <c r="BD76" s="32">
        <v>0</v>
      </c>
      <c r="BE76" s="32">
        <v>166.66907557251574</v>
      </c>
      <c r="BF76" s="32">
        <v>20.153128865916361</v>
      </c>
      <c r="BG76" s="32">
        <v>-11.359651236555111</v>
      </c>
      <c r="BH76" s="383">
        <v>8.2701339668597065</v>
      </c>
      <c r="BI76" s="32">
        <v>5.1433639097485369</v>
      </c>
      <c r="BJ76" s="32">
        <v>1.2734498243779575</v>
      </c>
      <c r="BK76" s="32">
        <v>10.624071574567434</v>
      </c>
      <c r="BL76" s="32">
        <v>-10.002348505255444</v>
      </c>
      <c r="BM76" s="32">
        <v>7.0385368034384825</v>
      </c>
      <c r="BN76" s="32">
        <v>110.83896982559205</v>
      </c>
      <c r="BO76" s="32">
        <v>0</v>
      </c>
      <c r="BP76" s="32">
        <v>40.678371603967719</v>
      </c>
      <c r="BQ76" s="32">
        <v>0</v>
      </c>
      <c r="BR76" s="32">
        <v>0</v>
      </c>
      <c r="BS76" s="32">
        <v>0</v>
      </c>
      <c r="BT76" s="32">
        <v>0</v>
      </c>
      <c r="BU76" s="32">
        <v>0</v>
      </c>
      <c r="BV76" s="32">
        <v>0</v>
      </c>
      <c r="BW76" s="32">
        <v>15.151734142955977</v>
      </c>
      <c r="BX76" s="32">
        <v>101.05790451750856</v>
      </c>
      <c r="BY76" s="32"/>
      <c r="BZ76" s="32">
        <v>0</v>
      </c>
      <c r="CA76" s="32">
        <v>-78.952145319170185</v>
      </c>
      <c r="CB76" s="32">
        <v>166.66907557251574</v>
      </c>
      <c r="CC76" s="32">
        <v>22.105759198338376</v>
      </c>
      <c r="CD76" s="383">
        <v>2.4304998412977321</v>
      </c>
      <c r="CE76" s="32">
        <v>-10.737928167243119</v>
      </c>
      <c r="CF76" s="32">
        <v>2.1954258768485122</v>
      </c>
      <c r="CG76" s="32">
        <v>0</v>
      </c>
      <c r="CH76" s="32">
        <v>2.1954258768485122</v>
      </c>
      <c r="CI76" s="32">
        <v>0.10977078578989516</v>
      </c>
      <c r="CJ76" s="32">
        <v>0</v>
      </c>
      <c r="CK76" s="32">
        <v>0.10977078578989516</v>
      </c>
      <c r="CL76" s="32"/>
      <c r="CM76" s="32">
        <v>0</v>
      </c>
      <c r="CN76" s="32"/>
      <c r="CO76" s="32">
        <v>0</v>
      </c>
      <c r="CP76" s="32">
        <v>0</v>
      </c>
      <c r="CQ76" s="32">
        <v>0</v>
      </c>
      <c r="CR76" s="32">
        <v>0</v>
      </c>
      <c r="CS76" s="32">
        <v>0</v>
      </c>
      <c r="CT76" s="32">
        <v>0</v>
      </c>
      <c r="CU76" s="32">
        <v>33.366759951950286</v>
      </c>
      <c r="CV76" s="32">
        <v>9999</v>
      </c>
      <c r="CW76" s="384">
        <v>0</v>
      </c>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row>
    <row r="77" spans="1:131">
      <c r="A77" s="11" t="s">
        <v>670</v>
      </c>
      <c r="B77" s="11" t="s">
        <v>845</v>
      </c>
      <c r="C77" s="32">
        <v>16.279069767441861</v>
      </c>
      <c r="D77" s="32">
        <v>204.25</v>
      </c>
      <c r="E77" s="32">
        <v>0</v>
      </c>
      <c r="F77" s="32">
        <v>81.005788606478362</v>
      </c>
      <c r="G77" s="32">
        <v>-28</v>
      </c>
      <c r="H77" s="32">
        <v>0</v>
      </c>
      <c r="I77" s="32" t="s">
        <v>526</v>
      </c>
      <c r="J77" s="32"/>
      <c r="K77" s="32"/>
      <c r="L77" s="32">
        <v>231.09639113662143</v>
      </c>
      <c r="M77" s="32">
        <v>5.4017153198887245E-2</v>
      </c>
      <c r="N77" s="32">
        <v>5.1249670966686187E-2</v>
      </c>
      <c r="O77" s="32">
        <v>0</v>
      </c>
      <c r="P77" s="32">
        <v>0</v>
      </c>
      <c r="Q77" s="32">
        <v>0</v>
      </c>
      <c r="R77" s="32">
        <v>16.153636364134851</v>
      </c>
      <c r="S77" s="32">
        <v>3.9994925017815115</v>
      </c>
      <c r="T77" s="32">
        <v>33.366759951950286</v>
      </c>
      <c r="U77" s="32">
        <v>47.538015699641917</v>
      </c>
      <c r="V77" s="32" t="s">
        <v>611</v>
      </c>
      <c r="W77" s="32" t="s">
        <v>611</v>
      </c>
      <c r="X77" s="32" t="s">
        <v>611</v>
      </c>
      <c r="Y77" s="32" t="s">
        <v>611</v>
      </c>
      <c r="Z77" s="32">
        <v>0</v>
      </c>
      <c r="AA77" s="32">
        <v>0</v>
      </c>
      <c r="AB77" s="32">
        <v>0</v>
      </c>
      <c r="AC77" s="32">
        <v>-380.52913765909528</v>
      </c>
      <c r="AD77" s="32">
        <v>0</v>
      </c>
      <c r="AE77" s="32">
        <v>0</v>
      </c>
      <c r="AF77" s="32">
        <v>0</v>
      </c>
      <c r="AG77" s="32">
        <v>0</v>
      </c>
      <c r="AH77" s="32">
        <v>16.153636364134851</v>
      </c>
      <c r="AI77" s="32">
        <v>3.9994925017815115</v>
      </c>
      <c r="AJ77" s="32">
        <v>33.366759951950286</v>
      </c>
      <c r="AK77" s="32">
        <v>-332.99112195945338</v>
      </c>
      <c r="AL77" s="32">
        <v>-279.47123314158671</v>
      </c>
      <c r="AM77" s="32">
        <v>110.83896982559205</v>
      </c>
      <c r="AN77" s="32">
        <v>19.086879245173812</v>
      </c>
      <c r="AO77" s="32">
        <v>12.992584907076587</v>
      </c>
      <c r="AP77" s="32">
        <v>0</v>
      </c>
      <c r="AQ77" s="32">
        <v>142.91843397784243</v>
      </c>
      <c r="AR77" s="32">
        <v>16.153636364134851</v>
      </c>
      <c r="AS77" s="383">
        <v>8.8474465288297193</v>
      </c>
      <c r="AT77" s="32">
        <v>110.83896982559205</v>
      </c>
      <c r="AU77" s="32">
        <v>21.591492358793907</v>
      </c>
      <c r="AV77" s="32">
        <v>13.243046218438597</v>
      </c>
      <c r="AW77" s="32">
        <v>0</v>
      </c>
      <c r="AX77" s="32">
        <v>145.67350840282455</v>
      </c>
      <c r="AY77" s="32">
        <v>3.9994925017815115</v>
      </c>
      <c r="AZ77" s="383">
        <v>36.422998252387416</v>
      </c>
      <c r="BA77" s="32">
        <v>110.83896982559205</v>
      </c>
      <c r="BB77" s="32">
        <v>40.678371603967719</v>
      </c>
      <c r="BC77" s="32">
        <v>15.151734142955977</v>
      </c>
      <c r="BD77" s="32">
        <v>0</v>
      </c>
      <c r="BE77" s="32">
        <v>166.66907557251574</v>
      </c>
      <c r="BF77" s="32">
        <v>20.153128865916361</v>
      </c>
      <c r="BG77" s="32">
        <v>-11.359651236555111</v>
      </c>
      <c r="BH77" s="383">
        <v>8.2701339668597065</v>
      </c>
      <c r="BI77" s="32">
        <v>5.1433639097485369</v>
      </c>
      <c r="BJ77" s="32">
        <v>1.2734498243779575</v>
      </c>
      <c r="BK77" s="32">
        <v>10.624071574567434</v>
      </c>
      <c r="BL77" s="32">
        <v>-106.02532336035124</v>
      </c>
      <c r="BM77" s="32">
        <v>-88.984438051657307</v>
      </c>
      <c r="BN77" s="32">
        <v>110.83896982559205</v>
      </c>
      <c r="BO77" s="32">
        <v>0</v>
      </c>
      <c r="BP77" s="32">
        <v>40.678371603967719</v>
      </c>
      <c r="BQ77" s="32">
        <v>0</v>
      </c>
      <c r="BR77" s="32">
        <v>0</v>
      </c>
      <c r="BS77" s="32">
        <v>0</v>
      </c>
      <c r="BT77" s="32">
        <v>0</v>
      </c>
      <c r="BU77" s="32">
        <v>0</v>
      </c>
      <c r="BV77" s="32">
        <v>0</v>
      </c>
      <c r="BW77" s="32">
        <v>15.151734142955977</v>
      </c>
      <c r="BX77" s="32">
        <v>101.05790451750856</v>
      </c>
      <c r="BY77" s="32"/>
      <c r="BZ77" s="32">
        <v>-380.52913765909528</v>
      </c>
      <c r="CA77" s="32">
        <v>0</v>
      </c>
      <c r="CB77" s="32">
        <v>166.66907557251574</v>
      </c>
      <c r="CC77" s="32">
        <v>-279.47123314158671</v>
      </c>
      <c r="CD77" s="383">
        <v>5.4146997787472175</v>
      </c>
      <c r="CE77" s="32">
        <v>-106.76090302233889</v>
      </c>
      <c r="CF77" s="32">
        <v>2.1954258768485122</v>
      </c>
      <c r="CG77" s="32">
        <v>0</v>
      </c>
      <c r="CH77" s="32">
        <v>2.1954258768485122</v>
      </c>
      <c r="CI77" s="32">
        <v>0.10977078578989516</v>
      </c>
      <c r="CJ77" s="32">
        <v>0</v>
      </c>
      <c r="CK77" s="32">
        <v>0.10977078578989516</v>
      </c>
      <c r="CL77" s="32"/>
      <c r="CM77" s="32">
        <v>0</v>
      </c>
      <c r="CN77" s="32"/>
      <c r="CO77" s="32">
        <v>0</v>
      </c>
      <c r="CP77" s="32">
        <v>0</v>
      </c>
      <c r="CQ77" s="32">
        <v>0</v>
      </c>
      <c r="CR77" s="32">
        <v>0</v>
      </c>
      <c r="CS77" s="32">
        <v>0</v>
      </c>
      <c r="CT77" s="32">
        <v>0</v>
      </c>
      <c r="CU77" s="32">
        <v>33.366759951950286</v>
      </c>
      <c r="CV77" s="32">
        <v>9999</v>
      </c>
      <c r="CW77" s="384">
        <v>0</v>
      </c>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row>
    <row r="78" spans="1:131">
      <c r="A78" s="11" t="s">
        <v>671</v>
      </c>
      <c r="B78" s="11" t="s">
        <v>846</v>
      </c>
      <c r="C78" s="32">
        <v>16.279069767441861</v>
      </c>
      <c r="D78" s="32">
        <v>333.25</v>
      </c>
      <c r="E78" s="32">
        <v>0</v>
      </c>
      <c r="F78" s="32">
        <v>81.005788606478362</v>
      </c>
      <c r="G78" s="32">
        <v>0</v>
      </c>
      <c r="H78" s="32">
        <v>-78.952145319170185</v>
      </c>
      <c r="I78" s="32" t="s">
        <v>526</v>
      </c>
      <c r="J78" s="32"/>
      <c r="K78" s="32"/>
      <c r="L78" s="32">
        <v>377.0520065913297</v>
      </c>
      <c r="M78" s="32">
        <v>8.8133249956079199E-2</v>
      </c>
      <c r="N78" s="32">
        <v>8.3617884208803783E-2</v>
      </c>
      <c r="O78" s="32">
        <v>0</v>
      </c>
      <c r="P78" s="32">
        <v>0</v>
      </c>
      <c r="Q78" s="32">
        <v>0</v>
      </c>
      <c r="R78" s="32">
        <v>16.153636364134851</v>
      </c>
      <c r="S78" s="32">
        <v>3.9994925017815115</v>
      </c>
      <c r="T78" s="32">
        <v>33.366759951950286</v>
      </c>
      <c r="U78" s="32">
        <v>47.538015699641917</v>
      </c>
      <c r="V78" s="32" t="s">
        <v>611</v>
      </c>
      <c r="W78" s="32" t="s">
        <v>611</v>
      </c>
      <c r="X78" s="32" t="s">
        <v>611</v>
      </c>
      <c r="Y78" s="32" t="s">
        <v>611</v>
      </c>
      <c r="Z78" s="32">
        <v>0</v>
      </c>
      <c r="AA78" s="32">
        <v>0</v>
      </c>
      <c r="AB78" s="32">
        <v>0</v>
      </c>
      <c r="AC78" s="32">
        <v>0</v>
      </c>
      <c r="AD78" s="32">
        <v>0</v>
      </c>
      <c r="AE78" s="32">
        <v>0</v>
      </c>
      <c r="AF78" s="32">
        <v>0</v>
      </c>
      <c r="AG78" s="32">
        <v>-78.952145319170185</v>
      </c>
      <c r="AH78" s="32">
        <v>16.153636364134851</v>
      </c>
      <c r="AI78" s="32">
        <v>3.9994925017815115</v>
      </c>
      <c r="AJ78" s="32">
        <v>33.366759951950286</v>
      </c>
      <c r="AK78" s="32">
        <v>-31.414129619528268</v>
      </c>
      <c r="AL78" s="32">
        <v>22.105759198338376</v>
      </c>
      <c r="AM78" s="32">
        <v>180.84252971543961</v>
      </c>
      <c r="AN78" s="32">
        <v>31.141750347388854</v>
      </c>
      <c r="AO78" s="32">
        <v>21.198428006282846</v>
      </c>
      <c r="AP78" s="32">
        <v>0</v>
      </c>
      <c r="AQ78" s="32">
        <v>233.18270806911133</v>
      </c>
      <c r="AR78" s="32">
        <v>16.153636364134851</v>
      </c>
      <c r="AS78" s="383">
        <v>14.435307494406386</v>
      </c>
      <c r="AT78" s="32">
        <v>180.84252971543961</v>
      </c>
      <c r="AU78" s="32">
        <v>35.228224374874266</v>
      </c>
      <c r="AV78" s="32">
        <v>21.607075409031388</v>
      </c>
      <c r="AW78" s="32">
        <v>0</v>
      </c>
      <c r="AX78" s="32">
        <v>237.67782949934525</v>
      </c>
      <c r="AY78" s="32">
        <v>3.9994925017815115</v>
      </c>
      <c r="AZ78" s="383">
        <v>59.426997148632076</v>
      </c>
      <c r="BA78" s="32">
        <v>180.84252971543961</v>
      </c>
      <c r="BB78" s="32">
        <v>66.369974722263123</v>
      </c>
      <c r="BC78" s="32">
        <v>24.721250443770273</v>
      </c>
      <c r="BD78" s="32">
        <v>0</v>
      </c>
      <c r="BE78" s="32">
        <v>271.93375488147302</v>
      </c>
      <c r="BF78" s="32">
        <v>20.153128865916361</v>
      </c>
      <c r="BG78" s="32">
        <v>-13.843579133636334</v>
      </c>
      <c r="BH78" s="383">
        <v>13.493376472244783</v>
      </c>
      <c r="BI78" s="32">
        <v>3.1523843317813611</v>
      </c>
      <c r="BJ78" s="32">
        <v>0.78050150526390938</v>
      </c>
      <c r="BK78" s="32">
        <v>6.511527739251008</v>
      </c>
      <c r="BL78" s="32">
        <v>-6.1304716645114015</v>
      </c>
      <c r="BM78" s="32">
        <v>4.3139419117848767</v>
      </c>
      <c r="BN78" s="32">
        <v>180.84252971543961</v>
      </c>
      <c r="BO78" s="32">
        <v>0</v>
      </c>
      <c r="BP78" s="32">
        <v>66.369974722263123</v>
      </c>
      <c r="BQ78" s="32">
        <v>0</v>
      </c>
      <c r="BR78" s="32">
        <v>0</v>
      </c>
      <c r="BS78" s="32">
        <v>0</v>
      </c>
      <c r="BT78" s="32">
        <v>0</v>
      </c>
      <c r="BU78" s="32">
        <v>0</v>
      </c>
      <c r="BV78" s="32">
        <v>0</v>
      </c>
      <c r="BW78" s="32">
        <v>24.721250443770273</v>
      </c>
      <c r="BX78" s="32">
        <v>101.05790451750856</v>
      </c>
      <c r="BY78" s="32"/>
      <c r="BZ78" s="32">
        <v>0</v>
      </c>
      <c r="CA78" s="32">
        <v>-78.952145319170185</v>
      </c>
      <c r="CB78" s="32">
        <v>271.93375488147302</v>
      </c>
      <c r="CC78" s="32">
        <v>22.105759198338376</v>
      </c>
      <c r="CD78" s="383">
        <v>3.4721272113835608</v>
      </c>
      <c r="CE78" s="32">
        <v>-13.46252305889673</v>
      </c>
      <c r="CF78" s="32">
        <v>3.5820106411738895</v>
      </c>
      <c r="CG78" s="32">
        <v>0</v>
      </c>
      <c r="CH78" s="32">
        <v>3.5820106411738895</v>
      </c>
      <c r="CI78" s="32">
        <v>0.17909970313088158</v>
      </c>
      <c r="CJ78" s="32">
        <v>0</v>
      </c>
      <c r="CK78" s="32">
        <v>0.17909970313088158</v>
      </c>
      <c r="CL78" s="32"/>
      <c r="CM78" s="32">
        <v>0</v>
      </c>
      <c r="CN78" s="32"/>
      <c r="CO78" s="32">
        <v>0</v>
      </c>
      <c r="CP78" s="32">
        <v>0</v>
      </c>
      <c r="CQ78" s="32">
        <v>0</v>
      </c>
      <c r="CR78" s="32">
        <v>0</v>
      </c>
      <c r="CS78" s="32">
        <v>0</v>
      </c>
      <c r="CT78" s="32">
        <v>0</v>
      </c>
      <c r="CU78" s="32">
        <v>33.366759951950286</v>
      </c>
      <c r="CV78" s="32">
        <v>9999</v>
      </c>
      <c r="CW78" s="384">
        <v>0</v>
      </c>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row>
    <row r="79" spans="1:131">
      <c r="A79" s="11" t="s">
        <v>671</v>
      </c>
      <c r="B79" s="11" t="s">
        <v>847</v>
      </c>
      <c r="C79" s="32">
        <v>16.279069767441861</v>
      </c>
      <c r="D79" s="32">
        <v>333.25</v>
      </c>
      <c r="E79" s="32">
        <v>0</v>
      </c>
      <c r="F79" s="32">
        <v>81.005788606478362</v>
      </c>
      <c r="G79" s="32">
        <v>-28</v>
      </c>
      <c r="H79" s="32">
        <v>0</v>
      </c>
      <c r="I79" s="32" t="s">
        <v>526</v>
      </c>
      <c r="J79" s="32"/>
      <c r="K79" s="32"/>
      <c r="L79" s="32">
        <v>377.0520065913297</v>
      </c>
      <c r="M79" s="32">
        <v>8.8133249956079199E-2</v>
      </c>
      <c r="N79" s="32">
        <v>8.3617884208803783E-2</v>
      </c>
      <c r="O79" s="32">
        <v>0</v>
      </c>
      <c r="P79" s="32">
        <v>0</v>
      </c>
      <c r="Q79" s="32">
        <v>0</v>
      </c>
      <c r="R79" s="32">
        <v>16.153636364134851</v>
      </c>
      <c r="S79" s="32">
        <v>3.9994925017815115</v>
      </c>
      <c r="T79" s="32">
        <v>33.366759951950286</v>
      </c>
      <c r="U79" s="32">
        <v>47.538015699641917</v>
      </c>
      <c r="V79" s="32" t="s">
        <v>611</v>
      </c>
      <c r="W79" s="32" t="s">
        <v>611</v>
      </c>
      <c r="X79" s="32" t="s">
        <v>611</v>
      </c>
      <c r="Y79" s="32" t="s">
        <v>611</v>
      </c>
      <c r="Z79" s="32">
        <v>0</v>
      </c>
      <c r="AA79" s="32">
        <v>0</v>
      </c>
      <c r="AB79" s="32">
        <v>0</v>
      </c>
      <c r="AC79" s="32">
        <v>-380.52913765909528</v>
      </c>
      <c r="AD79" s="32">
        <v>0</v>
      </c>
      <c r="AE79" s="32">
        <v>0</v>
      </c>
      <c r="AF79" s="32">
        <v>0</v>
      </c>
      <c r="AG79" s="32">
        <v>0</v>
      </c>
      <c r="AH79" s="32">
        <v>16.153636364134851</v>
      </c>
      <c r="AI79" s="32">
        <v>3.9994925017815115</v>
      </c>
      <c r="AJ79" s="32">
        <v>33.366759951950286</v>
      </c>
      <c r="AK79" s="32">
        <v>-332.99112195945338</v>
      </c>
      <c r="AL79" s="32">
        <v>-279.47123314158671</v>
      </c>
      <c r="AM79" s="32">
        <v>180.84252971543961</v>
      </c>
      <c r="AN79" s="32">
        <v>31.141750347388854</v>
      </c>
      <c r="AO79" s="32">
        <v>21.198428006282846</v>
      </c>
      <c r="AP79" s="32">
        <v>0</v>
      </c>
      <c r="AQ79" s="32">
        <v>233.18270806911133</v>
      </c>
      <c r="AR79" s="32">
        <v>16.153636364134851</v>
      </c>
      <c r="AS79" s="383">
        <v>14.435307494406386</v>
      </c>
      <c r="AT79" s="32">
        <v>180.84252971543961</v>
      </c>
      <c r="AU79" s="32">
        <v>35.228224374874266</v>
      </c>
      <c r="AV79" s="32">
        <v>21.607075409031388</v>
      </c>
      <c r="AW79" s="32">
        <v>0</v>
      </c>
      <c r="AX79" s="32">
        <v>237.67782949934525</v>
      </c>
      <c r="AY79" s="32">
        <v>3.9994925017815115</v>
      </c>
      <c r="AZ79" s="383">
        <v>59.426997148632076</v>
      </c>
      <c r="BA79" s="32">
        <v>180.84252971543961</v>
      </c>
      <c r="BB79" s="32">
        <v>66.369974722263123</v>
      </c>
      <c r="BC79" s="32">
        <v>24.721250443770273</v>
      </c>
      <c r="BD79" s="32">
        <v>0</v>
      </c>
      <c r="BE79" s="32">
        <v>271.93375488147302</v>
      </c>
      <c r="BF79" s="32">
        <v>20.153128865916361</v>
      </c>
      <c r="BG79" s="32">
        <v>-13.843579133636334</v>
      </c>
      <c r="BH79" s="383">
        <v>13.493376472244783</v>
      </c>
      <c r="BI79" s="32">
        <v>3.1523843317813611</v>
      </c>
      <c r="BJ79" s="32">
        <v>0.78050150526390938</v>
      </c>
      <c r="BK79" s="32">
        <v>6.511527739251008</v>
      </c>
      <c r="BL79" s="32">
        <v>-64.983262704731402</v>
      </c>
      <c r="BM79" s="32">
        <v>-54.538849128435118</v>
      </c>
      <c r="BN79" s="32">
        <v>180.84252971543961</v>
      </c>
      <c r="BO79" s="32">
        <v>0</v>
      </c>
      <c r="BP79" s="32">
        <v>66.369974722263123</v>
      </c>
      <c r="BQ79" s="32">
        <v>0</v>
      </c>
      <c r="BR79" s="32">
        <v>0</v>
      </c>
      <c r="BS79" s="32">
        <v>0</v>
      </c>
      <c r="BT79" s="32">
        <v>0</v>
      </c>
      <c r="BU79" s="32">
        <v>0</v>
      </c>
      <c r="BV79" s="32">
        <v>0</v>
      </c>
      <c r="BW79" s="32">
        <v>24.721250443770273</v>
      </c>
      <c r="BX79" s="32">
        <v>101.05790451750856</v>
      </c>
      <c r="BY79" s="32"/>
      <c r="BZ79" s="32">
        <v>-380.52913765909528</v>
      </c>
      <c r="CA79" s="32">
        <v>0</v>
      </c>
      <c r="CB79" s="32">
        <v>271.93375488147302</v>
      </c>
      <c r="CC79" s="32">
        <v>-279.47123314158671</v>
      </c>
      <c r="CD79" s="383">
        <v>6.4563271488330463</v>
      </c>
      <c r="CE79" s="32">
        <v>-72.315314099116733</v>
      </c>
      <c r="CF79" s="32">
        <v>3.5820106411738895</v>
      </c>
      <c r="CG79" s="32">
        <v>0</v>
      </c>
      <c r="CH79" s="32">
        <v>3.5820106411738895</v>
      </c>
      <c r="CI79" s="32">
        <v>0.17909970313088158</v>
      </c>
      <c r="CJ79" s="32">
        <v>0</v>
      </c>
      <c r="CK79" s="32">
        <v>0.17909970313088158</v>
      </c>
      <c r="CL79" s="32"/>
      <c r="CM79" s="32">
        <v>0</v>
      </c>
      <c r="CN79" s="32"/>
      <c r="CO79" s="32">
        <v>0</v>
      </c>
      <c r="CP79" s="32">
        <v>0</v>
      </c>
      <c r="CQ79" s="32">
        <v>0</v>
      </c>
      <c r="CR79" s="32">
        <v>0</v>
      </c>
      <c r="CS79" s="32">
        <v>0</v>
      </c>
      <c r="CT79" s="32">
        <v>0</v>
      </c>
      <c r="CU79" s="32">
        <v>33.366759951950286</v>
      </c>
      <c r="CV79" s="32">
        <v>9999</v>
      </c>
      <c r="CW79" s="384">
        <v>0</v>
      </c>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row>
    <row r="80" spans="1:131">
      <c r="A80" s="11" t="s">
        <v>672</v>
      </c>
      <c r="B80" s="11" t="s">
        <v>957</v>
      </c>
      <c r="C80" s="32">
        <v>16.279069767441861</v>
      </c>
      <c r="D80" s="32">
        <v>597.70000000000005</v>
      </c>
      <c r="E80" s="32">
        <v>0</v>
      </c>
      <c r="F80" s="32">
        <v>162.01157721295672</v>
      </c>
      <c r="G80" s="32">
        <v>0</v>
      </c>
      <c r="H80" s="32">
        <v>-88.191149031623709</v>
      </c>
      <c r="I80" s="32" t="s">
        <v>526</v>
      </c>
      <c r="J80" s="32"/>
      <c r="K80" s="32"/>
      <c r="L80" s="32">
        <v>676.26101827348168</v>
      </c>
      <c r="M80" s="32">
        <v>0.1580712483083227</v>
      </c>
      <c r="N80" s="32">
        <v>0.14997272135514486</v>
      </c>
      <c r="O80" s="32">
        <v>0</v>
      </c>
      <c r="P80" s="32">
        <v>0</v>
      </c>
      <c r="Q80" s="32">
        <v>0</v>
      </c>
      <c r="R80" s="32">
        <v>32.307272728269702</v>
      </c>
      <c r="S80" s="32">
        <v>7.998985003563023</v>
      </c>
      <c r="T80" s="32">
        <v>66.733519903900572</v>
      </c>
      <c r="U80" s="32">
        <v>95.076031399283835</v>
      </c>
      <c r="V80" s="32" t="s">
        <v>611</v>
      </c>
      <c r="W80" s="32" t="s">
        <v>611</v>
      </c>
      <c r="X80" s="32" t="s">
        <v>611</v>
      </c>
      <c r="Y80" s="32" t="s">
        <v>611</v>
      </c>
      <c r="Z80" s="32">
        <v>0</v>
      </c>
      <c r="AA80" s="32">
        <v>0</v>
      </c>
      <c r="AB80" s="32">
        <v>0</v>
      </c>
      <c r="AC80" s="32">
        <v>0</v>
      </c>
      <c r="AD80" s="32">
        <v>0</v>
      </c>
      <c r="AE80" s="32">
        <v>0</v>
      </c>
      <c r="AF80" s="32">
        <v>0</v>
      </c>
      <c r="AG80" s="32">
        <v>-88.191149031623709</v>
      </c>
      <c r="AH80" s="32">
        <v>32.307272728269702</v>
      </c>
      <c r="AI80" s="32">
        <v>7.998985003563023</v>
      </c>
      <c r="AJ80" s="32">
        <v>66.733519903900572</v>
      </c>
      <c r="AK80" s="32">
        <v>6.8848823676601256</v>
      </c>
      <c r="AL80" s="32">
        <v>113.92466000339341</v>
      </c>
      <c r="AM80" s="32">
        <v>324.34982748962744</v>
      </c>
      <c r="AN80" s="32">
        <v>55.854236106929704</v>
      </c>
      <c r="AO80" s="32">
        <v>38.020406359655716</v>
      </c>
      <c r="AP80" s="32">
        <v>0</v>
      </c>
      <c r="AQ80" s="32">
        <v>418.22446995621289</v>
      </c>
      <c r="AR80" s="32">
        <v>32.307272728269702</v>
      </c>
      <c r="AS80" s="383">
        <v>12.945211236919285</v>
      </c>
      <c r="AT80" s="32">
        <v>324.34982748962744</v>
      </c>
      <c r="AU80" s="32">
        <v>63.183525007839016</v>
      </c>
      <c r="AV80" s="32">
        <v>38.753335249746648</v>
      </c>
      <c r="AW80" s="32">
        <v>0</v>
      </c>
      <c r="AX80" s="32">
        <v>426.28668774721314</v>
      </c>
      <c r="AY80" s="32">
        <v>7.998985003563023</v>
      </c>
      <c r="AZ80" s="383">
        <v>53.292597442966873</v>
      </c>
      <c r="BA80" s="32">
        <v>324.34982748962744</v>
      </c>
      <c r="BB80" s="32">
        <v>119.03776111476873</v>
      </c>
      <c r="BC80" s="32">
        <v>44.338758860439619</v>
      </c>
      <c r="BD80" s="32">
        <v>0</v>
      </c>
      <c r="BE80" s="32">
        <v>487.72634746483578</v>
      </c>
      <c r="BF80" s="32">
        <v>40.306257731832723</v>
      </c>
      <c r="BG80" s="32">
        <v>-13.390872850235445</v>
      </c>
      <c r="BH80" s="383">
        <v>12.100511804142103</v>
      </c>
      <c r="BI80" s="32">
        <v>3.5152487152957623</v>
      </c>
      <c r="BJ80" s="32">
        <v>0.87034340515040254</v>
      </c>
      <c r="BK80" s="32">
        <v>7.2610561121144332</v>
      </c>
      <c r="BL80" s="32">
        <v>0.74912153995289932</v>
      </c>
      <c r="BM80" s="32">
        <v>12.395769772513496</v>
      </c>
      <c r="BN80" s="32">
        <v>324.34982748962744</v>
      </c>
      <c r="BO80" s="32">
        <v>0</v>
      </c>
      <c r="BP80" s="32">
        <v>119.03776111476873</v>
      </c>
      <c r="BQ80" s="32">
        <v>0</v>
      </c>
      <c r="BR80" s="32">
        <v>0</v>
      </c>
      <c r="BS80" s="32">
        <v>0</v>
      </c>
      <c r="BT80" s="32">
        <v>0</v>
      </c>
      <c r="BU80" s="32">
        <v>0</v>
      </c>
      <c r="BV80" s="32">
        <v>0</v>
      </c>
      <c r="BW80" s="32">
        <v>44.338758860439619</v>
      </c>
      <c r="BX80" s="32">
        <v>202.11580903501712</v>
      </c>
      <c r="BY80" s="32"/>
      <c r="BZ80" s="32">
        <v>0</v>
      </c>
      <c r="CA80" s="32">
        <v>-88.191149031623709</v>
      </c>
      <c r="CB80" s="32">
        <v>487.72634746483578</v>
      </c>
      <c r="CC80" s="32">
        <v>113.92466000339341</v>
      </c>
      <c r="CD80" s="383">
        <v>2.8494430952537715</v>
      </c>
      <c r="CE80" s="32">
        <v>-5.3806951981681133</v>
      </c>
      <c r="CF80" s="32">
        <v>6.4245094080409224</v>
      </c>
      <c r="CG80" s="32">
        <v>0</v>
      </c>
      <c r="CH80" s="32">
        <v>6.4245094080409224</v>
      </c>
      <c r="CI80" s="32">
        <v>0.32122398367990379</v>
      </c>
      <c r="CJ80" s="32">
        <v>0</v>
      </c>
      <c r="CK80" s="32">
        <v>0.32122398367990379</v>
      </c>
      <c r="CL80" s="32"/>
      <c r="CM80" s="32">
        <v>0</v>
      </c>
      <c r="CN80" s="32"/>
      <c r="CO80" s="32">
        <v>0</v>
      </c>
      <c r="CP80" s="32">
        <v>0</v>
      </c>
      <c r="CQ80" s="32">
        <v>0</v>
      </c>
      <c r="CR80" s="32">
        <v>0</v>
      </c>
      <c r="CS80" s="32">
        <v>0</v>
      </c>
      <c r="CT80" s="32">
        <v>0</v>
      </c>
      <c r="CU80" s="32">
        <v>66.733519903900572</v>
      </c>
      <c r="CV80" s="32">
        <v>9999</v>
      </c>
      <c r="CW80" s="384">
        <v>0</v>
      </c>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row>
    <row r="81" spans="1:131">
      <c r="A81" s="11" t="s">
        <v>672</v>
      </c>
      <c r="B81" s="11" t="s">
        <v>958</v>
      </c>
      <c r="C81" s="32">
        <v>16.279069767441861</v>
      </c>
      <c r="D81" s="32">
        <v>597.70000000000005</v>
      </c>
      <c r="E81" s="32">
        <v>0</v>
      </c>
      <c r="F81" s="32">
        <v>162.01157721295672</v>
      </c>
      <c r="G81" s="32">
        <v>-28</v>
      </c>
      <c r="H81" s="32">
        <v>0</v>
      </c>
      <c r="I81" s="32" t="s">
        <v>526</v>
      </c>
      <c r="J81" s="32"/>
      <c r="K81" s="32"/>
      <c r="L81" s="32">
        <v>676.26101827348168</v>
      </c>
      <c r="M81" s="32">
        <v>0.1580712483083227</v>
      </c>
      <c r="N81" s="32">
        <v>0.14997272135514486</v>
      </c>
      <c r="O81" s="32">
        <v>0</v>
      </c>
      <c r="P81" s="32">
        <v>0</v>
      </c>
      <c r="Q81" s="32">
        <v>0</v>
      </c>
      <c r="R81" s="32">
        <v>32.307272728269702</v>
      </c>
      <c r="S81" s="32">
        <v>7.998985003563023</v>
      </c>
      <c r="T81" s="32">
        <v>66.733519903900572</v>
      </c>
      <c r="U81" s="32">
        <v>95.076031399283835</v>
      </c>
      <c r="V81" s="32" t="s">
        <v>611</v>
      </c>
      <c r="W81" s="32" t="s">
        <v>611</v>
      </c>
      <c r="X81" s="32" t="s">
        <v>611</v>
      </c>
      <c r="Y81" s="32" t="s">
        <v>611</v>
      </c>
      <c r="Z81" s="32">
        <v>0</v>
      </c>
      <c r="AA81" s="32">
        <v>0</v>
      </c>
      <c r="AB81" s="32">
        <v>0</v>
      </c>
      <c r="AC81" s="32">
        <v>-380.52913765909528</v>
      </c>
      <c r="AD81" s="32">
        <v>0</v>
      </c>
      <c r="AE81" s="32">
        <v>0</v>
      </c>
      <c r="AF81" s="32">
        <v>0</v>
      </c>
      <c r="AG81" s="32">
        <v>0</v>
      </c>
      <c r="AH81" s="32">
        <v>32.307272728269702</v>
      </c>
      <c r="AI81" s="32">
        <v>7.998985003563023</v>
      </c>
      <c r="AJ81" s="32">
        <v>66.733519903900572</v>
      </c>
      <c r="AK81" s="32">
        <v>-285.45310625981142</v>
      </c>
      <c r="AL81" s="32">
        <v>-178.41332862407816</v>
      </c>
      <c r="AM81" s="32">
        <v>324.34982748962744</v>
      </c>
      <c r="AN81" s="32">
        <v>55.854236106929704</v>
      </c>
      <c r="AO81" s="32">
        <v>38.020406359655716</v>
      </c>
      <c r="AP81" s="32">
        <v>0</v>
      </c>
      <c r="AQ81" s="32">
        <v>418.22446995621289</v>
      </c>
      <c r="AR81" s="32">
        <v>32.307272728269702</v>
      </c>
      <c r="AS81" s="383">
        <v>12.945211236919285</v>
      </c>
      <c r="AT81" s="32">
        <v>324.34982748962744</v>
      </c>
      <c r="AU81" s="32">
        <v>63.183525007839016</v>
      </c>
      <c r="AV81" s="32">
        <v>38.753335249746648</v>
      </c>
      <c r="AW81" s="32">
        <v>0</v>
      </c>
      <c r="AX81" s="32">
        <v>426.28668774721314</v>
      </c>
      <c r="AY81" s="32">
        <v>7.998985003563023</v>
      </c>
      <c r="AZ81" s="383">
        <v>53.292597442966873</v>
      </c>
      <c r="BA81" s="32">
        <v>324.34982748962744</v>
      </c>
      <c r="BB81" s="32">
        <v>119.03776111476873</v>
      </c>
      <c r="BC81" s="32">
        <v>44.338758860439619</v>
      </c>
      <c r="BD81" s="32">
        <v>0</v>
      </c>
      <c r="BE81" s="32">
        <v>487.72634746483578</v>
      </c>
      <c r="BF81" s="32">
        <v>40.306257731832723</v>
      </c>
      <c r="BG81" s="32">
        <v>-13.390872850235445</v>
      </c>
      <c r="BH81" s="383">
        <v>12.100511804142103</v>
      </c>
      <c r="BI81" s="32">
        <v>3.5152487152957623</v>
      </c>
      <c r="BJ81" s="32">
        <v>0.87034340515040254</v>
      </c>
      <c r="BK81" s="32">
        <v>7.2610561121144332</v>
      </c>
      <c r="BL81" s="32">
        <v>-31.059219188716977</v>
      </c>
      <c r="BM81" s="32">
        <v>-19.41257095615638</v>
      </c>
      <c r="BN81" s="32">
        <v>324.34982748962744</v>
      </c>
      <c r="BO81" s="32">
        <v>0</v>
      </c>
      <c r="BP81" s="32">
        <v>119.03776111476873</v>
      </c>
      <c r="BQ81" s="32">
        <v>0</v>
      </c>
      <c r="BR81" s="32">
        <v>0</v>
      </c>
      <c r="BS81" s="32">
        <v>0</v>
      </c>
      <c r="BT81" s="32">
        <v>0</v>
      </c>
      <c r="BU81" s="32">
        <v>0</v>
      </c>
      <c r="BV81" s="32">
        <v>0</v>
      </c>
      <c r="BW81" s="32">
        <v>44.338758860439619</v>
      </c>
      <c r="BX81" s="32">
        <v>202.11580903501712</v>
      </c>
      <c r="BY81" s="32"/>
      <c r="BZ81" s="32">
        <v>-380.52913765909528</v>
      </c>
      <c r="CA81" s="32">
        <v>0</v>
      </c>
      <c r="CB81" s="32">
        <v>487.72634746483578</v>
      </c>
      <c r="CC81" s="32">
        <v>-178.41332862407816</v>
      </c>
      <c r="CD81" s="383">
        <v>4.2958316287544998</v>
      </c>
      <c r="CE81" s="32">
        <v>-37.189035926837981</v>
      </c>
      <c r="CF81" s="32">
        <v>6.4245094080409224</v>
      </c>
      <c r="CG81" s="32">
        <v>0</v>
      </c>
      <c r="CH81" s="32">
        <v>6.4245094080409224</v>
      </c>
      <c r="CI81" s="32">
        <v>0.32122398367990379</v>
      </c>
      <c r="CJ81" s="32">
        <v>0</v>
      </c>
      <c r="CK81" s="32">
        <v>0.32122398367990379</v>
      </c>
      <c r="CL81" s="32"/>
      <c r="CM81" s="32">
        <v>0</v>
      </c>
      <c r="CN81" s="32"/>
      <c r="CO81" s="32">
        <v>0</v>
      </c>
      <c r="CP81" s="32">
        <v>0</v>
      </c>
      <c r="CQ81" s="32">
        <v>0</v>
      </c>
      <c r="CR81" s="32">
        <v>0</v>
      </c>
      <c r="CS81" s="32">
        <v>0</v>
      </c>
      <c r="CT81" s="32">
        <v>0</v>
      </c>
      <c r="CU81" s="32">
        <v>66.733519903900572</v>
      </c>
      <c r="CV81" s="32">
        <v>9999</v>
      </c>
      <c r="CW81" s="384">
        <v>0</v>
      </c>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row>
    <row r="82" spans="1:131">
      <c r="A82" s="11" t="s">
        <v>673</v>
      </c>
      <c r="B82" s="11" t="s">
        <v>874</v>
      </c>
      <c r="C82" s="32">
        <v>16.279069767441861</v>
      </c>
      <c r="D82" s="32">
        <v>1459.85</v>
      </c>
      <c r="E82" s="32">
        <v>0</v>
      </c>
      <c r="F82" s="32">
        <v>486.0347316388702</v>
      </c>
      <c r="G82" s="32">
        <v>0</v>
      </c>
      <c r="H82" s="32">
        <v>-90.31623696009656</v>
      </c>
      <c r="I82" s="32" t="s">
        <v>526</v>
      </c>
      <c r="J82" s="32"/>
      <c r="K82" s="32"/>
      <c r="L82" s="32">
        <v>1651.7310482291152</v>
      </c>
      <c r="M82" s="32">
        <v>0.38608049496888885</v>
      </c>
      <c r="N82" s="32">
        <v>0.36630027985663072</v>
      </c>
      <c r="O82" s="32">
        <v>0</v>
      </c>
      <c r="P82" s="32">
        <v>0</v>
      </c>
      <c r="Q82" s="32">
        <v>0</v>
      </c>
      <c r="R82" s="32">
        <v>96.921818184809098</v>
      </c>
      <c r="S82" s="32">
        <v>23.996955010689071</v>
      </c>
      <c r="T82" s="32">
        <v>200.20055971170177</v>
      </c>
      <c r="U82" s="32">
        <v>285.22809419785153</v>
      </c>
      <c r="V82" s="32" t="s">
        <v>611</v>
      </c>
      <c r="W82" s="32" t="s">
        <v>611</v>
      </c>
      <c r="X82" s="32" t="s">
        <v>611</v>
      </c>
      <c r="Y82" s="32" t="s">
        <v>611</v>
      </c>
      <c r="Z82" s="32">
        <v>0</v>
      </c>
      <c r="AA82" s="32">
        <v>0</v>
      </c>
      <c r="AB82" s="32">
        <v>0</v>
      </c>
      <c r="AC82" s="32">
        <v>0</v>
      </c>
      <c r="AD82" s="32">
        <v>0</v>
      </c>
      <c r="AE82" s="32">
        <v>0</v>
      </c>
      <c r="AF82" s="32">
        <v>0</v>
      </c>
      <c r="AG82" s="32">
        <v>-90.31623696009656</v>
      </c>
      <c r="AH82" s="32">
        <v>96.921818184809098</v>
      </c>
      <c r="AI82" s="32">
        <v>23.996955010689071</v>
      </c>
      <c r="AJ82" s="32">
        <v>200.20055971170177</v>
      </c>
      <c r="AK82" s="32">
        <v>194.91185723775499</v>
      </c>
      <c r="AL82" s="32">
        <v>516.03119014495485</v>
      </c>
      <c r="AM82" s="32">
        <v>792.20695275344133</v>
      </c>
      <c r="AN82" s="32">
        <v>136.42095797340019</v>
      </c>
      <c r="AO82" s="32">
        <v>92.862791072684161</v>
      </c>
      <c r="AP82" s="32">
        <v>0</v>
      </c>
      <c r="AQ82" s="32">
        <v>1021.4907017995256</v>
      </c>
      <c r="AR82" s="32">
        <v>96.921818184809098</v>
      </c>
      <c r="AS82" s="383">
        <v>10.539326654518202</v>
      </c>
      <c r="AT82" s="32">
        <v>792.20695275344133</v>
      </c>
      <c r="AU82" s="32">
        <v>154.32235064864273</v>
      </c>
      <c r="AV82" s="32">
        <v>94.652930340208414</v>
      </c>
      <c r="AW82" s="32">
        <v>0</v>
      </c>
      <c r="AX82" s="32">
        <v>1041.1822337422925</v>
      </c>
      <c r="AY82" s="32">
        <v>23.996955010689071</v>
      </c>
      <c r="AZ82" s="383">
        <v>43.388097918194788</v>
      </c>
      <c r="BA82" s="32">
        <v>792.20695275344133</v>
      </c>
      <c r="BB82" s="32">
        <v>290.74330862204295</v>
      </c>
      <c r="BC82" s="32">
        <v>108.29502613754843</v>
      </c>
      <c r="BD82" s="32">
        <v>0</v>
      </c>
      <c r="BE82" s="32">
        <v>1191.2452875130325</v>
      </c>
      <c r="BF82" s="32">
        <v>120.91877319549818</v>
      </c>
      <c r="BG82" s="32">
        <v>-12.389743573844914</v>
      </c>
      <c r="BH82" s="383">
        <v>9.8516157254346233</v>
      </c>
      <c r="BI82" s="32">
        <v>4.3176987165783007</v>
      </c>
      <c r="BJ82" s="32">
        <v>1.0690226802583738</v>
      </c>
      <c r="BK82" s="32">
        <v>8.918587330638351</v>
      </c>
      <c r="BL82" s="32">
        <v>8.6829848181000191</v>
      </c>
      <c r="BM82" s="32">
        <v>22.98829354557504</v>
      </c>
      <c r="BN82" s="32">
        <v>792.20695275344133</v>
      </c>
      <c r="BO82" s="32">
        <v>0</v>
      </c>
      <c r="BP82" s="32">
        <v>290.74330862204295</v>
      </c>
      <c r="BQ82" s="32">
        <v>0</v>
      </c>
      <c r="BR82" s="32">
        <v>0</v>
      </c>
      <c r="BS82" s="32">
        <v>0</v>
      </c>
      <c r="BT82" s="32">
        <v>0</v>
      </c>
      <c r="BU82" s="32">
        <v>0</v>
      </c>
      <c r="BV82" s="32">
        <v>0</v>
      </c>
      <c r="BW82" s="32">
        <v>108.29502613754843</v>
      </c>
      <c r="BX82" s="32">
        <v>606.34742710505145</v>
      </c>
      <c r="BY82" s="32"/>
      <c r="BZ82" s="32">
        <v>0</v>
      </c>
      <c r="CA82" s="32">
        <v>-90.31623696009656</v>
      </c>
      <c r="CB82" s="32">
        <v>1191.2452875130325</v>
      </c>
      <c r="CC82" s="32">
        <v>516.03119014495485</v>
      </c>
      <c r="CD82" s="383">
        <v>2.11357625543465</v>
      </c>
      <c r="CE82" s="32">
        <v>5.2118285748934472</v>
      </c>
      <c r="CF82" s="32">
        <v>15.691517582948913</v>
      </c>
      <c r="CG82" s="32">
        <v>0</v>
      </c>
      <c r="CH82" s="32">
        <v>15.691517582948913</v>
      </c>
      <c r="CI82" s="32">
        <v>0.7845722479088294</v>
      </c>
      <c r="CJ82" s="32">
        <v>0</v>
      </c>
      <c r="CK82" s="32">
        <v>0.7845722479088294</v>
      </c>
      <c r="CL82" s="32"/>
      <c r="CM82" s="32">
        <v>0</v>
      </c>
      <c r="CN82" s="32"/>
      <c r="CO82" s="32">
        <v>0</v>
      </c>
      <c r="CP82" s="32">
        <v>0</v>
      </c>
      <c r="CQ82" s="32">
        <v>0</v>
      </c>
      <c r="CR82" s="32">
        <v>0</v>
      </c>
      <c r="CS82" s="32">
        <v>0</v>
      </c>
      <c r="CT82" s="32">
        <v>0</v>
      </c>
      <c r="CU82" s="32">
        <v>200.20055971170177</v>
      </c>
      <c r="CV82" s="32">
        <v>9999</v>
      </c>
      <c r="CW82" s="384">
        <v>0</v>
      </c>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row>
    <row r="83" spans="1:131">
      <c r="A83" s="11" t="s">
        <v>673</v>
      </c>
      <c r="B83" s="11" t="s">
        <v>875</v>
      </c>
      <c r="C83" s="32">
        <v>16.279069767441861</v>
      </c>
      <c r="D83" s="32">
        <v>1459.85</v>
      </c>
      <c r="E83" s="32">
        <v>0</v>
      </c>
      <c r="F83" s="32">
        <v>486.0347316388702</v>
      </c>
      <c r="G83" s="32">
        <v>-28</v>
      </c>
      <c r="H83" s="32">
        <v>0</v>
      </c>
      <c r="I83" s="32" t="s">
        <v>526</v>
      </c>
      <c r="J83" s="32"/>
      <c r="K83" s="32"/>
      <c r="L83" s="32">
        <v>1651.7310482291152</v>
      </c>
      <c r="M83" s="32">
        <v>0.38608049496888885</v>
      </c>
      <c r="N83" s="32">
        <v>0.36630027985663072</v>
      </c>
      <c r="O83" s="32">
        <v>0</v>
      </c>
      <c r="P83" s="32">
        <v>0</v>
      </c>
      <c r="Q83" s="32">
        <v>0</v>
      </c>
      <c r="R83" s="32">
        <v>96.921818184809098</v>
      </c>
      <c r="S83" s="32">
        <v>23.996955010689071</v>
      </c>
      <c r="T83" s="32">
        <v>200.20055971170177</v>
      </c>
      <c r="U83" s="32">
        <v>285.22809419785153</v>
      </c>
      <c r="V83" s="32" t="s">
        <v>611</v>
      </c>
      <c r="W83" s="32" t="s">
        <v>611</v>
      </c>
      <c r="X83" s="32" t="s">
        <v>611</v>
      </c>
      <c r="Y83" s="32" t="s">
        <v>611</v>
      </c>
      <c r="Z83" s="32">
        <v>0</v>
      </c>
      <c r="AA83" s="32">
        <v>0</v>
      </c>
      <c r="AB83" s="32">
        <v>0</v>
      </c>
      <c r="AC83" s="32">
        <v>-380.52913765909528</v>
      </c>
      <c r="AD83" s="32">
        <v>0</v>
      </c>
      <c r="AE83" s="32">
        <v>0</v>
      </c>
      <c r="AF83" s="32">
        <v>0</v>
      </c>
      <c r="AG83" s="32">
        <v>0</v>
      </c>
      <c r="AH83" s="32">
        <v>96.921818184809098</v>
      </c>
      <c r="AI83" s="32">
        <v>23.996955010689071</v>
      </c>
      <c r="AJ83" s="32">
        <v>200.20055971170177</v>
      </c>
      <c r="AK83" s="32">
        <v>-95.301043461243751</v>
      </c>
      <c r="AL83" s="32">
        <v>225.81828944595617</v>
      </c>
      <c r="AM83" s="32">
        <v>792.20695275344133</v>
      </c>
      <c r="AN83" s="32">
        <v>136.42095797340019</v>
      </c>
      <c r="AO83" s="32">
        <v>92.862791072684161</v>
      </c>
      <c r="AP83" s="32">
        <v>0</v>
      </c>
      <c r="AQ83" s="32">
        <v>1021.4907017995256</v>
      </c>
      <c r="AR83" s="32">
        <v>96.921818184809098</v>
      </c>
      <c r="AS83" s="383">
        <v>10.539326654518202</v>
      </c>
      <c r="AT83" s="32">
        <v>792.20695275344133</v>
      </c>
      <c r="AU83" s="32">
        <v>154.32235064864273</v>
      </c>
      <c r="AV83" s="32">
        <v>94.652930340208414</v>
      </c>
      <c r="AW83" s="32">
        <v>0</v>
      </c>
      <c r="AX83" s="32">
        <v>1041.1822337422925</v>
      </c>
      <c r="AY83" s="32">
        <v>23.996955010689071</v>
      </c>
      <c r="AZ83" s="383">
        <v>43.388097918194788</v>
      </c>
      <c r="BA83" s="32">
        <v>792.20695275344133</v>
      </c>
      <c r="BB83" s="32">
        <v>290.74330862204295</v>
      </c>
      <c r="BC83" s="32">
        <v>108.29502613754843</v>
      </c>
      <c r="BD83" s="32">
        <v>0</v>
      </c>
      <c r="BE83" s="32">
        <v>1191.2452875130325</v>
      </c>
      <c r="BF83" s="32">
        <v>120.91877319549818</v>
      </c>
      <c r="BG83" s="32">
        <v>-12.389743573844914</v>
      </c>
      <c r="BH83" s="383">
        <v>9.8516157254346233</v>
      </c>
      <c r="BI83" s="32">
        <v>4.3176987165783007</v>
      </c>
      <c r="BJ83" s="32">
        <v>1.0690226802583738</v>
      </c>
      <c r="BK83" s="32">
        <v>8.918587330638351</v>
      </c>
      <c r="BL83" s="32">
        <v>-4.2454960167645499</v>
      </c>
      <c r="BM83" s="32">
        <v>10.059812710710474</v>
      </c>
      <c r="BN83" s="32">
        <v>792.20695275344133</v>
      </c>
      <c r="BO83" s="32">
        <v>0</v>
      </c>
      <c r="BP83" s="32">
        <v>290.74330862204295</v>
      </c>
      <c r="BQ83" s="32">
        <v>0</v>
      </c>
      <c r="BR83" s="32">
        <v>0</v>
      </c>
      <c r="BS83" s="32">
        <v>0</v>
      </c>
      <c r="BT83" s="32">
        <v>0</v>
      </c>
      <c r="BU83" s="32">
        <v>0</v>
      </c>
      <c r="BV83" s="32">
        <v>0</v>
      </c>
      <c r="BW83" s="32">
        <v>108.29502613754843</v>
      </c>
      <c r="BX83" s="32">
        <v>606.34742710505145</v>
      </c>
      <c r="BY83" s="32"/>
      <c r="BZ83" s="32">
        <v>-380.52913765909528</v>
      </c>
      <c r="CA83" s="32">
        <v>0</v>
      </c>
      <c r="CB83" s="32">
        <v>1191.2452875130325</v>
      </c>
      <c r="CC83" s="32">
        <v>225.81828944595617</v>
      </c>
      <c r="CD83" s="383">
        <v>2.5922010301526575</v>
      </c>
      <c r="CE83" s="32">
        <v>-7.7166522599711165</v>
      </c>
      <c r="CF83" s="32">
        <v>15.691517582948913</v>
      </c>
      <c r="CG83" s="32">
        <v>0</v>
      </c>
      <c r="CH83" s="32">
        <v>15.691517582948913</v>
      </c>
      <c r="CI83" s="32">
        <v>0.7845722479088294</v>
      </c>
      <c r="CJ83" s="32">
        <v>0</v>
      </c>
      <c r="CK83" s="32">
        <v>0.7845722479088294</v>
      </c>
      <c r="CL83" s="32"/>
      <c r="CM83" s="32">
        <v>0</v>
      </c>
      <c r="CN83" s="32"/>
      <c r="CO83" s="32">
        <v>0</v>
      </c>
      <c r="CP83" s="32">
        <v>0</v>
      </c>
      <c r="CQ83" s="32">
        <v>0</v>
      </c>
      <c r="CR83" s="32">
        <v>0</v>
      </c>
      <c r="CS83" s="32">
        <v>0</v>
      </c>
      <c r="CT83" s="32">
        <v>0</v>
      </c>
      <c r="CU83" s="32">
        <v>200.20055971170177</v>
      </c>
      <c r="CV83" s="32">
        <v>9999</v>
      </c>
      <c r="CW83" s="384">
        <v>0</v>
      </c>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row>
    <row r="84" spans="1:131">
      <c r="A84" s="11"/>
      <c r="B84" s="1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row>
    <row r="85" spans="1:131">
      <c r="A85" s="11"/>
      <c r="B85" s="11"/>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row>
    <row r="86" spans="1:131" ht="13.5" thickBot="1">
      <c r="A86" s="368" t="s">
        <v>612</v>
      </c>
      <c r="B86" s="370"/>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row>
    <row r="87" spans="1:131" ht="26.25" thickBot="1">
      <c r="A87" s="373" t="s">
        <v>291</v>
      </c>
      <c r="B87" s="374"/>
      <c r="C87" s="375" t="s">
        <v>292</v>
      </c>
      <c r="D87" s="376"/>
      <c r="E87" s="376"/>
      <c r="F87" s="376"/>
      <c r="G87" s="376"/>
      <c r="H87" s="376"/>
      <c r="I87" s="376"/>
      <c r="J87" s="376"/>
      <c r="K87" s="377"/>
      <c r="L87" s="375" t="s">
        <v>102</v>
      </c>
      <c r="M87" s="376"/>
      <c r="N87" s="376"/>
      <c r="O87" s="376"/>
      <c r="P87" s="376"/>
      <c r="Q87" s="377"/>
      <c r="R87" s="375" t="s">
        <v>293</v>
      </c>
      <c r="S87" s="376"/>
      <c r="T87" s="376"/>
      <c r="U87" s="377"/>
      <c r="V87" s="375" t="s">
        <v>294</v>
      </c>
      <c r="W87" s="376"/>
      <c r="X87" s="376"/>
      <c r="Y87" s="377"/>
      <c r="Z87" s="375" t="s">
        <v>295</v>
      </c>
      <c r="AA87" s="376"/>
      <c r="AB87" s="376"/>
      <c r="AC87" s="377"/>
      <c r="AD87" s="375" t="s">
        <v>296</v>
      </c>
      <c r="AE87" s="376"/>
      <c r="AF87" s="376"/>
      <c r="AG87" s="377"/>
      <c r="AH87" s="375" t="s">
        <v>297</v>
      </c>
      <c r="AI87" s="376"/>
      <c r="AJ87" s="376"/>
      <c r="AK87" s="376"/>
      <c r="AL87" s="377"/>
      <c r="AM87" s="375" t="s">
        <v>298</v>
      </c>
      <c r="AN87" s="376"/>
      <c r="AO87" s="376"/>
      <c r="AP87" s="376"/>
      <c r="AQ87" s="376"/>
      <c r="AR87" s="376"/>
      <c r="AS87" s="377"/>
      <c r="AT87" s="375" t="s">
        <v>299</v>
      </c>
      <c r="AU87" s="376"/>
      <c r="AV87" s="376"/>
      <c r="AW87" s="376"/>
      <c r="AX87" s="376"/>
      <c r="AY87" s="376"/>
      <c r="AZ87" s="377"/>
      <c r="BA87" s="375" t="s">
        <v>300</v>
      </c>
      <c r="BB87" s="376"/>
      <c r="BC87" s="376"/>
      <c r="BD87" s="376"/>
      <c r="BE87" s="376"/>
      <c r="BF87" s="377"/>
      <c r="BG87" s="375" t="s">
        <v>301</v>
      </c>
      <c r="BH87" s="377"/>
      <c r="BI87" s="375" t="s">
        <v>302</v>
      </c>
      <c r="BJ87" s="376"/>
      <c r="BK87" s="376"/>
      <c r="BL87" s="376"/>
      <c r="BM87" s="377"/>
      <c r="BN87" s="375" t="s">
        <v>303</v>
      </c>
      <c r="BO87" s="376"/>
      <c r="BP87" s="376"/>
      <c r="BQ87" s="376"/>
      <c r="BR87" s="376"/>
      <c r="BS87" s="376"/>
      <c r="BT87" s="376"/>
      <c r="BU87" s="376"/>
      <c r="BV87" s="376"/>
      <c r="BW87" s="376"/>
      <c r="BX87" s="376"/>
      <c r="BY87" s="376"/>
      <c r="BZ87" s="376"/>
      <c r="CA87" s="376"/>
      <c r="CB87" s="376"/>
      <c r="CC87" s="377"/>
      <c r="CD87" s="375" t="s">
        <v>304</v>
      </c>
      <c r="CE87" s="377"/>
      <c r="CF87" s="375" t="s">
        <v>305</v>
      </c>
      <c r="CG87" s="376"/>
      <c r="CH87" s="376"/>
      <c r="CI87" s="376"/>
      <c r="CJ87" s="376"/>
      <c r="CK87" s="377"/>
      <c r="CL87" s="378"/>
      <c r="CM87" s="375" t="s">
        <v>15</v>
      </c>
      <c r="CN87" s="376"/>
      <c r="CO87" s="376"/>
      <c r="CP87" s="377"/>
      <c r="CQ87" s="375" t="s">
        <v>306</v>
      </c>
      <c r="CR87" s="376"/>
      <c r="CS87" s="376"/>
      <c r="CT87" s="376"/>
      <c r="CU87" s="377"/>
      <c r="CV87" s="375" t="s">
        <v>307</v>
      </c>
      <c r="CW87" s="377"/>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row>
    <row r="88" spans="1:131" ht="127.5">
      <c r="A88" s="379" t="s">
        <v>308</v>
      </c>
      <c r="B88" s="380" t="s">
        <v>309</v>
      </c>
      <c r="C88" s="381" t="s">
        <v>8</v>
      </c>
      <c r="D88" s="381" t="s">
        <v>310</v>
      </c>
      <c r="E88" s="381" t="s">
        <v>311</v>
      </c>
      <c r="F88" s="381" t="s">
        <v>312</v>
      </c>
      <c r="G88" s="381" t="s">
        <v>313</v>
      </c>
      <c r="H88" s="381" t="s">
        <v>314</v>
      </c>
      <c r="I88" s="381" t="s">
        <v>315</v>
      </c>
      <c r="J88" s="381" t="s">
        <v>316</v>
      </c>
      <c r="K88" s="381" t="s">
        <v>317</v>
      </c>
      <c r="L88" s="381" t="s">
        <v>318</v>
      </c>
      <c r="M88" s="381" t="s">
        <v>319</v>
      </c>
      <c r="N88" s="381" t="s">
        <v>320</v>
      </c>
      <c r="O88" s="381" t="s">
        <v>321</v>
      </c>
      <c r="P88" s="381" t="s">
        <v>322</v>
      </c>
      <c r="Q88" s="381" t="s">
        <v>323</v>
      </c>
      <c r="R88" s="381" t="s">
        <v>324</v>
      </c>
      <c r="S88" s="381" t="s">
        <v>325</v>
      </c>
      <c r="T88" s="381" t="s">
        <v>326</v>
      </c>
      <c r="U88" s="381" t="s">
        <v>327</v>
      </c>
      <c r="V88" s="381" t="s">
        <v>324</v>
      </c>
      <c r="W88" s="381" t="s">
        <v>325</v>
      </c>
      <c r="X88" s="381" t="s">
        <v>326</v>
      </c>
      <c r="Y88" s="381" t="s">
        <v>327</v>
      </c>
      <c r="Z88" s="381" t="s">
        <v>324</v>
      </c>
      <c r="AA88" s="381" t="s">
        <v>325</v>
      </c>
      <c r="AB88" s="381" t="s">
        <v>326</v>
      </c>
      <c r="AC88" s="381" t="s">
        <v>327</v>
      </c>
      <c r="AD88" s="381" t="s">
        <v>324</v>
      </c>
      <c r="AE88" s="381" t="s">
        <v>325</v>
      </c>
      <c r="AF88" s="381" t="s">
        <v>326</v>
      </c>
      <c r="AG88" s="381" t="s">
        <v>327</v>
      </c>
      <c r="AH88" s="381" t="s">
        <v>324</v>
      </c>
      <c r="AI88" s="381" t="s">
        <v>325</v>
      </c>
      <c r="AJ88" s="381" t="s">
        <v>326</v>
      </c>
      <c r="AK88" s="381" t="s">
        <v>327</v>
      </c>
      <c r="AL88" s="381" t="s">
        <v>156</v>
      </c>
      <c r="AM88" s="381" t="s">
        <v>328</v>
      </c>
      <c r="AN88" s="381" t="s">
        <v>329</v>
      </c>
      <c r="AO88" s="381" t="s">
        <v>330</v>
      </c>
      <c r="AP88" s="381" t="s">
        <v>331</v>
      </c>
      <c r="AQ88" s="381" t="s">
        <v>332</v>
      </c>
      <c r="AR88" s="381" t="s">
        <v>333</v>
      </c>
      <c r="AS88" s="381" t="s">
        <v>334</v>
      </c>
      <c r="AT88" s="381" t="s">
        <v>335</v>
      </c>
      <c r="AU88" s="381" t="s">
        <v>336</v>
      </c>
      <c r="AV88" s="381" t="s">
        <v>337</v>
      </c>
      <c r="AW88" s="381" t="s">
        <v>338</v>
      </c>
      <c r="AX88" s="381" t="s">
        <v>339</v>
      </c>
      <c r="AY88" s="381" t="s">
        <v>340</v>
      </c>
      <c r="AZ88" s="381" t="s">
        <v>341</v>
      </c>
      <c r="BA88" s="381" t="s">
        <v>342</v>
      </c>
      <c r="BB88" s="381" t="s">
        <v>343</v>
      </c>
      <c r="BC88" s="381" t="s">
        <v>344</v>
      </c>
      <c r="BD88" s="381" t="s">
        <v>345</v>
      </c>
      <c r="BE88" s="381" t="s">
        <v>346</v>
      </c>
      <c r="BF88" s="381" t="s">
        <v>347</v>
      </c>
      <c r="BG88" s="381" t="s">
        <v>348</v>
      </c>
      <c r="BH88" s="381" t="s">
        <v>349</v>
      </c>
      <c r="BI88" s="381" t="s">
        <v>350</v>
      </c>
      <c r="BJ88" s="381" t="s">
        <v>351</v>
      </c>
      <c r="BK88" s="381" t="s">
        <v>352</v>
      </c>
      <c r="BL88" s="381" t="s">
        <v>353</v>
      </c>
      <c r="BM88" s="381" t="s">
        <v>354</v>
      </c>
      <c r="BN88" s="381" t="s">
        <v>355</v>
      </c>
      <c r="BO88" s="381" t="s">
        <v>356</v>
      </c>
      <c r="BP88" s="381" t="s">
        <v>357</v>
      </c>
      <c r="BQ88" s="381" t="s">
        <v>358</v>
      </c>
      <c r="BR88" s="381" t="s">
        <v>359</v>
      </c>
      <c r="BS88" s="381" t="s">
        <v>360</v>
      </c>
      <c r="BT88" s="381" t="s">
        <v>361</v>
      </c>
      <c r="BU88" s="381" t="s">
        <v>362</v>
      </c>
      <c r="BV88" s="381" t="s">
        <v>363</v>
      </c>
      <c r="BW88" s="381" t="s">
        <v>364</v>
      </c>
      <c r="BX88" s="381" t="s">
        <v>365</v>
      </c>
      <c r="BY88" s="381" t="s">
        <v>366</v>
      </c>
      <c r="BZ88" s="381" t="s">
        <v>367</v>
      </c>
      <c r="CA88" s="381" t="s">
        <v>368</v>
      </c>
      <c r="CB88" s="381" t="s">
        <v>369</v>
      </c>
      <c r="CC88" s="381" t="s">
        <v>370</v>
      </c>
      <c r="CD88" s="381" t="s">
        <v>371</v>
      </c>
      <c r="CE88" s="381" t="s">
        <v>372</v>
      </c>
      <c r="CF88" s="381" t="s">
        <v>373</v>
      </c>
      <c r="CG88" s="381" t="s">
        <v>374</v>
      </c>
      <c r="CH88" s="381" t="s">
        <v>375</v>
      </c>
      <c r="CI88" s="381" t="s">
        <v>608</v>
      </c>
      <c r="CJ88" s="381" t="s">
        <v>609</v>
      </c>
      <c r="CK88" s="381" t="s">
        <v>610</v>
      </c>
      <c r="CL88" s="381"/>
      <c r="CM88" s="381" t="s">
        <v>376</v>
      </c>
      <c r="CN88" s="381" t="s">
        <v>377</v>
      </c>
      <c r="CO88" s="381" t="s">
        <v>378</v>
      </c>
      <c r="CP88" s="381" t="s">
        <v>379</v>
      </c>
      <c r="CQ88" s="381" t="s">
        <v>380</v>
      </c>
      <c r="CR88" s="381" t="s">
        <v>381</v>
      </c>
      <c r="CS88" s="381" t="s">
        <v>382</v>
      </c>
      <c r="CT88" s="381" t="s">
        <v>383</v>
      </c>
      <c r="CU88" s="381" t="s">
        <v>384</v>
      </c>
      <c r="CV88" s="381" t="s">
        <v>385</v>
      </c>
      <c r="CW88" s="381" t="s">
        <v>386</v>
      </c>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row>
    <row r="89" spans="1:131">
      <c r="A89" s="11" t="s">
        <v>664</v>
      </c>
      <c r="B89" s="11"/>
      <c r="C89" s="32">
        <v>16.279069767441861</v>
      </c>
      <c r="D89" s="32">
        <v>305.29999999999995</v>
      </c>
      <c r="E89" s="32">
        <v>0</v>
      </c>
      <c r="F89" s="32">
        <v>-8.5918959509302795</v>
      </c>
      <c r="G89" s="32">
        <v>-28</v>
      </c>
      <c r="H89" s="32">
        <v>-75.99143986970131</v>
      </c>
      <c r="I89" s="32"/>
      <c r="J89" s="32"/>
      <c r="K89" s="32"/>
      <c r="L89" s="32">
        <v>345.42828990947618</v>
      </c>
      <c r="M89" s="32">
        <v>8.0741428992020942E-2</v>
      </c>
      <c r="N89" s="32">
        <v>7.6604771339678288E-2</v>
      </c>
      <c r="O89" s="32">
        <v>0</v>
      </c>
      <c r="P89" s="32">
        <v>0</v>
      </c>
      <c r="Q89" s="32">
        <v>0</v>
      </c>
      <c r="R89" s="32">
        <v>-1.713338827476222</v>
      </c>
      <c r="S89" s="32">
        <v>-0.42420701067138822</v>
      </c>
      <c r="T89" s="32">
        <v>-3.5390523894473516</v>
      </c>
      <c r="U89" s="32">
        <v>-5.0421296012461596</v>
      </c>
      <c r="V89" s="32">
        <v>-0.51551375705581681</v>
      </c>
      <c r="W89" s="32">
        <v>-0.12887843926395418</v>
      </c>
      <c r="X89" s="32">
        <v>-1.0739869938662849</v>
      </c>
      <c r="Y89" s="32">
        <v>0</v>
      </c>
      <c r="Z89" s="32">
        <v>0</v>
      </c>
      <c r="AA89" s="32">
        <v>0</v>
      </c>
      <c r="AB89" s="32">
        <v>0</v>
      </c>
      <c r="AC89" s="32">
        <v>-380.52913765909528</v>
      </c>
      <c r="AD89" s="32">
        <v>0</v>
      </c>
      <c r="AE89" s="32">
        <v>0</v>
      </c>
      <c r="AF89" s="32">
        <v>0</v>
      </c>
      <c r="AG89" s="32">
        <v>-75.99143986970131</v>
      </c>
      <c r="AH89" s="32">
        <v>-2.2288525845320386</v>
      </c>
      <c r="AI89" s="32">
        <v>-0.55308544993534237</v>
      </c>
      <c r="AJ89" s="32">
        <v>-4.6130393833136365</v>
      </c>
      <c r="AK89" s="32">
        <v>-461.56270713004278</v>
      </c>
      <c r="AL89" s="32">
        <v>-468.95768454782376</v>
      </c>
      <c r="AM89" s="32">
        <v>165.67509173930594</v>
      </c>
      <c r="AN89" s="32">
        <v>28.529861608575583</v>
      </c>
      <c r="AO89" s="32">
        <v>19.42049533478815</v>
      </c>
      <c r="AP89" s="32">
        <v>0</v>
      </c>
      <c r="AQ89" s="32">
        <v>213.62544868266966</v>
      </c>
      <c r="AR89" s="32">
        <v>-2.2288525845320386</v>
      </c>
      <c r="AS89" s="383">
        <v>9999</v>
      </c>
      <c r="AT89" s="32">
        <v>165.67509173930594</v>
      </c>
      <c r="AU89" s="32">
        <v>32.273599104723516</v>
      </c>
      <c r="AV89" s="32">
        <v>19.794869084402944</v>
      </c>
      <c r="AW89" s="32">
        <v>0</v>
      </c>
      <c r="AX89" s="32">
        <v>217.74355992843238</v>
      </c>
      <c r="AY89" s="32">
        <v>-0.55308544993534237</v>
      </c>
      <c r="AZ89" s="383">
        <v>9999</v>
      </c>
      <c r="BA89" s="32">
        <v>165.67509173930594</v>
      </c>
      <c r="BB89" s="32">
        <v>60.803460713299103</v>
      </c>
      <c r="BC89" s="32">
        <v>22.647855245260505</v>
      </c>
      <c r="BD89" s="32">
        <v>0</v>
      </c>
      <c r="BE89" s="32">
        <v>249.12640769786552</v>
      </c>
      <c r="BF89" s="32">
        <v>-2.7819380344673812</v>
      </c>
      <c r="BG89" s="32">
        <v>-18.369062264711971</v>
      </c>
      <c r="BH89" s="383">
        <v>9999</v>
      </c>
      <c r="BI89" s="32">
        <v>-0.4747812474691479</v>
      </c>
      <c r="BJ89" s="32">
        <v>-0.11781604656122655</v>
      </c>
      <c r="BK89" s="32">
        <v>-0.98265116689796694</v>
      </c>
      <c r="BL89" s="32">
        <v>-98.320238582512061</v>
      </c>
      <c r="BM89" s="32">
        <v>-99.895487043440397</v>
      </c>
      <c r="BN89" s="32">
        <v>165.67509173930594</v>
      </c>
      <c r="BO89" s="32">
        <v>0</v>
      </c>
      <c r="BP89" s="32">
        <v>60.803460713299103</v>
      </c>
      <c r="BQ89" s="32">
        <v>0</v>
      </c>
      <c r="BR89" s="32">
        <v>0</v>
      </c>
      <c r="BS89" s="32">
        <v>0</v>
      </c>
      <c r="BT89" s="32">
        <v>0</v>
      </c>
      <c r="BU89" s="32">
        <v>0</v>
      </c>
      <c r="BV89" s="32">
        <v>0</v>
      </c>
      <c r="BW89" s="32">
        <v>22.647855245260505</v>
      </c>
      <c r="BX89" s="32">
        <v>-10.718727828841121</v>
      </c>
      <c r="BY89" s="32">
        <v>-1.7183791901860559</v>
      </c>
      <c r="BZ89" s="32">
        <v>-380.52913765909528</v>
      </c>
      <c r="CA89" s="32">
        <v>-75.99143986970131</v>
      </c>
      <c r="CB89" s="32">
        <v>249.12640769786555</v>
      </c>
      <c r="CC89" s="32">
        <v>-468.95768454782376</v>
      </c>
      <c r="CD89" s="383">
        <v>9999</v>
      </c>
      <c r="CE89" s="32">
        <v>-117.67195201412203</v>
      </c>
      <c r="CF89" s="32">
        <v>3.2815839422367321</v>
      </c>
      <c r="CG89" s="32">
        <v>0</v>
      </c>
      <c r="CH89" s="32">
        <v>3.2815839422367321</v>
      </c>
      <c r="CI89" s="32">
        <v>0.16407843770700115</v>
      </c>
      <c r="CJ89" s="32">
        <v>0</v>
      </c>
      <c r="CK89" s="32">
        <v>0.16407843770700115</v>
      </c>
      <c r="CL89" s="32"/>
      <c r="CM89" s="32">
        <v>0</v>
      </c>
      <c r="CN89" s="32"/>
      <c r="CO89" s="32">
        <v>0</v>
      </c>
      <c r="CP89" s="32">
        <v>0</v>
      </c>
      <c r="CQ89" s="32">
        <v>0</v>
      </c>
      <c r="CR89" s="32">
        <v>0</v>
      </c>
      <c r="CS89" s="32">
        <v>0</v>
      </c>
      <c r="CT89" s="32">
        <v>0</v>
      </c>
      <c r="CU89" s="32">
        <v>-4.6130393833136365</v>
      </c>
      <c r="CV89" s="32">
        <v>9999</v>
      </c>
      <c r="CW89" s="383">
        <v>9999</v>
      </c>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row>
    <row r="90" spans="1:131">
      <c r="A90" s="11" t="s">
        <v>666</v>
      </c>
      <c r="B90" s="11"/>
      <c r="C90" s="32">
        <v>16.279069767441861</v>
      </c>
      <c r="D90" s="32">
        <v>666.5</v>
      </c>
      <c r="E90" s="32">
        <v>0</v>
      </c>
      <c r="F90" s="32">
        <v>2.0115772129567233</v>
      </c>
      <c r="G90" s="32">
        <v>-28</v>
      </c>
      <c r="H90" s="32">
        <v>-78.952145319170185</v>
      </c>
      <c r="I90" s="32"/>
      <c r="J90" s="32"/>
      <c r="K90" s="32"/>
      <c r="L90" s="32">
        <v>754.1040131826594</v>
      </c>
      <c r="M90" s="32">
        <v>0.1762664999121584</v>
      </c>
      <c r="N90" s="32">
        <v>0.16723576841760757</v>
      </c>
      <c r="O90" s="32">
        <v>0</v>
      </c>
      <c r="P90" s="32">
        <v>0</v>
      </c>
      <c r="Q90" s="32">
        <v>0</v>
      </c>
      <c r="R90" s="32">
        <v>0.40113536792213955</v>
      </c>
      <c r="S90" s="32">
        <v>9.9317445313180402E-2</v>
      </c>
      <c r="T90" s="32">
        <v>0.82858046497892279</v>
      </c>
      <c r="U90" s="32">
        <v>1.1804883425692743</v>
      </c>
      <c r="V90" s="32">
        <v>0.1206946327774034</v>
      </c>
      <c r="W90" s="32">
        <v>3.0173658194350843E-2</v>
      </c>
      <c r="X90" s="32">
        <v>0.25144715161959041</v>
      </c>
      <c r="Y90" s="32">
        <v>0</v>
      </c>
      <c r="Z90" s="32">
        <v>0</v>
      </c>
      <c r="AA90" s="32">
        <v>0</v>
      </c>
      <c r="AB90" s="32">
        <v>0</v>
      </c>
      <c r="AC90" s="32">
        <v>-380.52913765909528</v>
      </c>
      <c r="AD90" s="32">
        <v>0</v>
      </c>
      <c r="AE90" s="32">
        <v>0</v>
      </c>
      <c r="AF90" s="32">
        <v>0</v>
      </c>
      <c r="AG90" s="32">
        <v>-78.952145319170185</v>
      </c>
      <c r="AH90" s="32">
        <v>0.521830000699543</v>
      </c>
      <c r="AI90" s="32">
        <v>0.12949110350753124</v>
      </c>
      <c r="AJ90" s="32">
        <v>1.0800276165985132</v>
      </c>
      <c r="AK90" s="32">
        <v>-458.30079463569621</v>
      </c>
      <c r="AL90" s="32">
        <v>-456.56944591489059</v>
      </c>
      <c r="AM90" s="32">
        <v>361.68505943087922</v>
      </c>
      <c r="AN90" s="32">
        <v>62.283500694777707</v>
      </c>
      <c r="AO90" s="32">
        <v>42.396856012565692</v>
      </c>
      <c r="AP90" s="32">
        <v>0</v>
      </c>
      <c r="AQ90" s="32">
        <v>466.36541613822266</v>
      </c>
      <c r="AR90" s="32">
        <v>0.521830000699543</v>
      </c>
      <c r="AS90" s="383">
        <v>893.71139166593161</v>
      </c>
      <c r="AT90" s="32">
        <v>361.68505943087922</v>
      </c>
      <c r="AU90" s="32">
        <v>70.456448749748532</v>
      </c>
      <c r="AV90" s="32">
        <v>43.214150818062777</v>
      </c>
      <c r="AW90" s="32">
        <v>0</v>
      </c>
      <c r="AX90" s="32">
        <v>475.3556589986905</v>
      </c>
      <c r="AY90" s="32">
        <v>0.12949110350753124</v>
      </c>
      <c r="AZ90" s="383">
        <v>3670.9522594426239</v>
      </c>
      <c r="BA90" s="32">
        <v>361.68505943087922</v>
      </c>
      <c r="BB90" s="32">
        <v>132.73994944452625</v>
      </c>
      <c r="BC90" s="32">
        <v>49.442500887540547</v>
      </c>
      <c r="BD90" s="32">
        <v>0</v>
      </c>
      <c r="BE90" s="32">
        <v>543.86750976294604</v>
      </c>
      <c r="BF90" s="32">
        <v>0.65132110420707423</v>
      </c>
      <c r="BG90" s="32">
        <v>-17.712912269680494</v>
      </c>
      <c r="BH90" s="383">
        <v>835.02209010263311</v>
      </c>
      <c r="BI90" s="32">
        <v>5.0917597777272942E-2</v>
      </c>
      <c r="BJ90" s="32">
        <v>1.2635103223833233E-2</v>
      </c>
      <c r="BK90" s="32">
        <v>0.10538376807885591</v>
      </c>
      <c r="BL90" s="32">
        <v>-44.718731178702399</v>
      </c>
      <c r="BM90" s="32">
        <v>-44.549794709622439</v>
      </c>
      <c r="BN90" s="32">
        <v>361.68505943087922</v>
      </c>
      <c r="BO90" s="32">
        <v>0</v>
      </c>
      <c r="BP90" s="32">
        <v>132.73994944452625</v>
      </c>
      <c r="BQ90" s="32">
        <v>0</v>
      </c>
      <c r="BR90" s="32">
        <v>0</v>
      </c>
      <c r="BS90" s="32">
        <v>0</v>
      </c>
      <c r="BT90" s="32">
        <v>0</v>
      </c>
      <c r="BU90" s="32">
        <v>0</v>
      </c>
      <c r="BV90" s="32">
        <v>0</v>
      </c>
      <c r="BW90" s="32">
        <v>49.442500887540547</v>
      </c>
      <c r="BX90" s="32">
        <v>2.5095216207835169</v>
      </c>
      <c r="BY90" s="32">
        <v>0.40231544259134466</v>
      </c>
      <c r="BZ90" s="32">
        <v>-380.52913765909528</v>
      </c>
      <c r="CA90" s="32">
        <v>-78.952145319170185</v>
      </c>
      <c r="CB90" s="32">
        <v>543.86750976294604</v>
      </c>
      <c r="CC90" s="32">
        <v>-456.56944591489059</v>
      </c>
      <c r="CD90" s="383">
        <v>344.57587114380487</v>
      </c>
      <c r="CE90" s="32">
        <v>-62.326259680304034</v>
      </c>
      <c r="CF90" s="32">
        <v>7.1640212823477789</v>
      </c>
      <c r="CG90" s="32">
        <v>0</v>
      </c>
      <c r="CH90" s="32">
        <v>7.1640212823477789</v>
      </c>
      <c r="CI90" s="32">
        <v>0.35819940626176316</v>
      </c>
      <c r="CJ90" s="32">
        <v>0</v>
      </c>
      <c r="CK90" s="32">
        <v>0.35819940626176316</v>
      </c>
      <c r="CL90" s="32"/>
      <c r="CM90" s="32">
        <v>0</v>
      </c>
      <c r="CN90" s="32"/>
      <c r="CO90" s="32">
        <v>0</v>
      </c>
      <c r="CP90" s="32">
        <v>0</v>
      </c>
      <c r="CQ90" s="32">
        <v>0</v>
      </c>
      <c r="CR90" s="32">
        <v>0</v>
      </c>
      <c r="CS90" s="32">
        <v>0</v>
      </c>
      <c r="CT90" s="32">
        <v>0</v>
      </c>
      <c r="CU90" s="32">
        <v>1.0800276165985132</v>
      </c>
      <c r="CV90" s="32">
        <v>9999</v>
      </c>
      <c r="CW90" s="384">
        <v>0</v>
      </c>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row>
    <row r="91" spans="1:131">
      <c r="A91" s="11" t="s">
        <v>665</v>
      </c>
      <c r="B91" s="11"/>
      <c r="C91" s="32">
        <v>16.279069767441861</v>
      </c>
      <c r="D91" s="32">
        <v>408.5</v>
      </c>
      <c r="E91" s="32">
        <v>0</v>
      </c>
      <c r="F91" s="32">
        <v>2.0115772129567233</v>
      </c>
      <c r="G91" s="32">
        <v>-28</v>
      </c>
      <c r="H91" s="32">
        <v>-78.952145319170185</v>
      </c>
      <c r="I91" s="32"/>
      <c r="J91" s="32"/>
      <c r="K91" s="32"/>
      <c r="L91" s="32">
        <v>462.19278227324287</v>
      </c>
      <c r="M91" s="32">
        <v>0.10803430639777449</v>
      </c>
      <c r="N91" s="32">
        <v>0.10249934193337237</v>
      </c>
      <c r="O91" s="32">
        <v>0</v>
      </c>
      <c r="P91" s="32">
        <v>0</v>
      </c>
      <c r="Q91" s="32">
        <v>0</v>
      </c>
      <c r="R91" s="32">
        <v>0.40113536792213955</v>
      </c>
      <c r="S91" s="32">
        <v>9.9317445313180402E-2</v>
      </c>
      <c r="T91" s="32">
        <v>0.82858046497892279</v>
      </c>
      <c r="U91" s="32">
        <v>1.1804883425692743</v>
      </c>
      <c r="V91" s="32">
        <v>0.1206946327774034</v>
      </c>
      <c r="W91" s="32">
        <v>3.0173658194350843E-2</v>
      </c>
      <c r="X91" s="32">
        <v>0.25144715161959041</v>
      </c>
      <c r="Y91" s="32">
        <v>0</v>
      </c>
      <c r="Z91" s="32">
        <v>0</v>
      </c>
      <c r="AA91" s="32">
        <v>0</v>
      </c>
      <c r="AB91" s="32">
        <v>0</v>
      </c>
      <c r="AC91" s="32">
        <v>-380.52913765909528</v>
      </c>
      <c r="AD91" s="32">
        <v>0</v>
      </c>
      <c r="AE91" s="32">
        <v>0</v>
      </c>
      <c r="AF91" s="32">
        <v>0</v>
      </c>
      <c r="AG91" s="32">
        <v>-78.952145319170185</v>
      </c>
      <c r="AH91" s="32">
        <v>0.521830000699543</v>
      </c>
      <c r="AI91" s="32">
        <v>0.12949110350753124</v>
      </c>
      <c r="AJ91" s="32">
        <v>1.0800276165985132</v>
      </c>
      <c r="AK91" s="32">
        <v>-458.30079463569621</v>
      </c>
      <c r="AL91" s="32">
        <v>-456.56944591489059</v>
      </c>
      <c r="AM91" s="32">
        <v>221.67793965118409</v>
      </c>
      <c r="AN91" s="32">
        <v>38.173758490347623</v>
      </c>
      <c r="AO91" s="32">
        <v>25.985169814153174</v>
      </c>
      <c r="AP91" s="32">
        <v>0</v>
      </c>
      <c r="AQ91" s="32">
        <v>285.83686795568485</v>
      </c>
      <c r="AR91" s="32">
        <v>0.521830000699543</v>
      </c>
      <c r="AS91" s="383">
        <v>547.75859489202264</v>
      </c>
      <c r="AT91" s="32">
        <v>221.67793965118409</v>
      </c>
      <c r="AU91" s="32">
        <v>43.182984717587814</v>
      </c>
      <c r="AV91" s="32">
        <v>26.486092436877193</v>
      </c>
      <c r="AW91" s="32">
        <v>0</v>
      </c>
      <c r="AX91" s="32">
        <v>291.3470168056491</v>
      </c>
      <c r="AY91" s="32">
        <v>0.12949110350753124</v>
      </c>
      <c r="AZ91" s="383">
        <v>2249.938481593867</v>
      </c>
      <c r="BA91" s="32">
        <v>221.67793965118409</v>
      </c>
      <c r="BB91" s="32">
        <v>81.356743207935438</v>
      </c>
      <c r="BC91" s="32">
        <v>30.303468285911954</v>
      </c>
      <c r="BD91" s="32">
        <v>0</v>
      </c>
      <c r="BE91" s="32">
        <v>333.33815114503147</v>
      </c>
      <c r="BF91" s="32">
        <v>0.65132110420707423</v>
      </c>
      <c r="BG91" s="32">
        <v>-17.6727737216798</v>
      </c>
      <c r="BH91" s="383">
        <v>511.78773264354936</v>
      </c>
      <c r="BI91" s="32">
        <v>8.3076080583971645E-2</v>
      </c>
      <c r="BJ91" s="32">
        <v>2.0615168417833171E-2</v>
      </c>
      <c r="BK91" s="32">
        <v>0.17194193739181754</v>
      </c>
      <c r="BL91" s="32">
        <v>-72.962140344198659</v>
      </c>
      <c r="BM91" s="32">
        <v>-72.686507157805025</v>
      </c>
      <c r="BN91" s="32">
        <v>221.67793965118409</v>
      </c>
      <c r="BO91" s="32">
        <v>0</v>
      </c>
      <c r="BP91" s="32">
        <v>81.356743207935438</v>
      </c>
      <c r="BQ91" s="32">
        <v>0</v>
      </c>
      <c r="BR91" s="32">
        <v>0</v>
      </c>
      <c r="BS91" s="32">
        <v>0</v>
      </c>
      <c r="BT91" s="32">
        <v>0</v>
      </c>
      <c r="BU91" s="32">
        <v>0</v>
      </c>
      <c r="BV91" s="32">
        <v>0</v>
      </c>
      <c r="BW91" s="32">
        <v>30.303468285911954</v>
      </c>
      <c r="BX91" s="32">
        <v>2.5095216207835169</v>
      </c>
      <c r="BY91" s="32">
        <v>0.40231544259134466</v>
      </c>
      <c r="BZ91" s="32">
        <v>-380.52913765909528</v>
      </c>
      <c r="CA91" s="32">
        <v>-78.952145319170185</v>
      </c>
      <c r="CB91" s="32">
        <v>333.33815114503147</v>
      </c>
      <c r="CC91" s="32">
        <v>-456.56944591489059</v>
      </c>
      <c r="CD91" s="383">
        <v>272.27465578187531</v>
      </c>
      <c r="CE91" s="32">
        <v>-90.462972128486626</v>
      </c>
      <c r="CF91" s="32">
        <v>4.3908517536970244</v>
      </c>
      <c r="CG91" s="32">
        <v>0</v>
      </c>
      <c r="CH91" s="32">
        <v>4.3908517536970244</v>
      </c>
      <c r="CI91" s="32">
        <v>0.21954157157979032</v>
      </c>
      <c r="CJ91" s="32">
        <v>0</v>
      </c>
      <c r="CK91" s="32">
        <v>0.21954157157979032</v>
      </c>
      <c r="CL91" s="32"/>
      <c r="CM91" s="32">
        <v>0</v>
      </c>
      <c r="CN91" s="32"/>
      <c r="CO91" s="32">
        <v>0</v>
      </c>
      <c r="CP91" s="32">
        <v>0</v>
      </c>
      <c r="CQ91" s="32">
        <v>0</v>
      </c>
      <c r="CR91" s="32">
        <v>0</v>
      </c>
      <c r="CS91" s="32">
        <v>0</v>
      </c>
      <c r="CT91" s="32">
        <v>0</v>
      </c>
      <c r="CU91" s="32">
        <v>1.0800276165985132</v>
      </c>
      <c r="CV91" s="32">
        <v>9999</v>
      </c>
      <c r="CW91" s="384">
        <v>0</v>
      </c>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row>
    <row r="92" spans="1:131">
      <c r="A92" s="11" t="s">
        <v>667</v>
      </c>
      <c r="B92" s="11"/>
      <c r="C92" s="32">
        <v>16.279069767441861</v>
      </c>
      <c r="D92" s="32">
        <v>1195.4000000000001</v>
      </c>
      <c r="E92" s="32">
        <v>0</v>
      </c>
      <c r="F92" s="32">
        <v>134.02315442591345</v>
      </c>
      <c r="G92" s="32">
        <v>-28</v>
      </c>
      <c r="H92" s="32">
        <v>-88.191149031623709</v>
      </c>
      <c r="I92" s="32"/>
      <c r="J92" s="32"/>
      <c r="K92" s="32"/>
      <c r="L92" s="32">
        <v>1352.5220365469634</v>
      </c>
      <c r="M92" s="32">
        <v>0.3161424966166454</v>
      </c>
      <c r="N92" s="32">
        <v>0.29994544271028972</v>
      </c>
      <c r="O92" s="32">
        <v>0</v>
      </c>
      <c r="P92" s="32">
        <v>0</v>
      </c>
      <c r="Q92" s="32">
        <v>0</v>
      </c>
      <c r="R92" s="32">
        <v>26.726007341126671</v>
      </c>
      <c r="S92" s="32">
        <v>6.617114781704359</v>
      </c>
      <c r="T92" s="32">
        <v>55.204924224081694</v>
      </c>
      <c r="U92" s="32">
        <v>78.651105418719141</v>
      </c>
      <c r="V92" s="32">
        <v>8.0413892655548072</v>
      </c>
      <c r="W92" s="32">
        <v>2.0103473163887013</v>
      </c>
      <c r="X92" s="32">
        <v>16.752894303239181</v>
      </c>
      <c r="Y92" s="32">
        <v>0</v>
      </c>
      <c r="Z92" s="32">
        <v>0</v>
      </c>
      <c r="AA92" s="32">
        <v>0</v>
      </c>
      <c r="AB92" s="32">
        <v>0</v>
      </c>
      <c r="AC92" s="32">
        <v>-380.52913765909528</v>
      </c>
      <c r="AD92" s="32">
        <v>0</v>
      </c>
      <c r="AE92" s="32">
        <v>0</v>
      </c>
      <c r="AF92" s="32">
        <v>0</v>
      </c>
      <c r="AG92" s="32">
        <v>-88.191149031623709</v>
      </c>
      <c r="AH92" s="32">
        <v>34.76739660668148</v>
      </c>
      <c r="AI92" s="32">
        <v>8.6274620980930603</v>
      </c>
      <c r="AJ92" s="32">
        <v>71.957818527320882</v>
      </c>
      <c r="AK92" s="32">
        <v>-390.06918127199987</v>
      </c>
      <c r="AL92" s="32">
        <v>-274.71650403990441</v>
      </c>
      <c r="AM92" s="32">
        <v>648.69965497925489</v>
      </c>
      <c r="AN92" s="32">
        <v>111.70847221385941</v>
      </c>
      <c r="AO92" s="32">
        <v>76.040812719311432</v>
      </c>
      <c r="AP92" s="32">
        <v>0</v>
      </c>
      <c r="AQ92" s="32">
        <v>836.44893991242577</v>
      </c>
      <c r="AR92" s="32">
        <v>34.76739660668148</v>
      </c>
      <c r="AS92" s="383">
        <v>24.05842891761645</v>
      </c>
      <c r="AT92" s="32">
        <v>648.69965497925489</v>
      </c>
      <c r="AU92" s="32">
        <v>126.36705001567803</v>
      </c>
      <c r="AV92" s="32">
        <v>77.506670499493296</v>
      </c>
      <c r="AW92" s="32">
        <v>0</v>
      </c>
      <c r="AX92" s="32">
        <v>852.57337549442627</v>
      </c>
      <c r="AY92" s="32">
        <v>8.6274620980930603</v>
      </c>
      <c r="AZ92" s="383">
        <v>98.820877542060913</v>
      </c>
      <c r="BA92" s="32">
        <v>648.69965497925489</v>
      </c>
      <c r="BB92" s="32">
        <v>238.07552222953746</v>
      </c>
      <c r="BC92" s="32">
        <v>88.677517720879237</v>
      </c>
      <c r="BD92" s="32">
        <v>0</v>
      </c>
      <c r="BE92" s="32">
        <v>975.45269492967157</v>
      </c>
      <c r="BF92" s="32">
        <v>43.394858704774542</v>
      </c>
      <c r="BG92" s="32">
        <v>-15.415638623694418</v>
      </c>
      <c r="BH92" s="383">
        <v>22.478531421565542</v>
      </c>
      <c r="BI92" s="32">
        <v>1.891463375502958</v>
      </c>
      <c r="BJ92" s="32">
        <v>0.469362971484235</v>
      </c>
      <c r="BK92" s="32">
        <v>3.9147474821096995</v>
      </c>
      <c r="BL92" s="32">
        <v>-21.221076131614172</v>
      </c>
      <c r="BM92" s="32">
        <v>-14.94550230251728</v>
      </c>
      <c r="BN92" s="32">
        <v>648.69965497925489</v>
      </c>
      <c r="BO92" s="32">
        <v>0</v>
      </c>
      <c r="BP92" s="32">
        <v>238.07552222953746</v>
      </c>
      <c r="BQ92" s="32">
        <v>0</v>
      </c>
      <c r="BR92" s="32">
        <v>0</v>
      </c>
      <c r="BS92" s="32">
        <v>0</v>
      </c>
      <c r="BT92" s="32">
        <v>0</v>
      </c>
      <c r="BU92" s="32">
        <v>0</v>
      </c>
      <c r="BV92" s="32">
        <v>0</v>
      </c>
      <c r="BW92" s="32">
        <v>88.677517720879237</v>
      </c>
      <c r="BX92" s="32">
        <v>167.19915176563188</v>
      </c>
      <c r="BY92" s="32">
        <v>26.804630885182689</v>
      </c>
      <c r="BZ92" s="32">
        <v>-380.52913765909528</v>
      </c>
      <c r="CA92" s="32">
        <v>-88.191149031623709</v>
      </c>
      <c r="CB92" s="32">
        <v>975.45269492967157</v>
      </c>
      <c r="CC92" s="32">
        <v>-274.71650403990441</v>
      </c>
      <c r="CD92" s="383">
        <v>7.4440454814210639</v>
      </c>
      <c r="CE92" s="32">
        <v>-32.721967273198892</v>
      </c>
      <c r="CF92" s="32">
        <v>12.849018816081845</v>
      </c>
      <c r="CG92" s="32">
        <v>0</v>
      </c>
      <c r="CH92" s="32">
        <v>12.849018816081845</v>
      </c>
      <c r="CI92" s="32">
        <v>0.64244796735980758</v>
      </c>
      <c r="CJ92" s="32">
        <v>0</v>
      </c>
      <c r="CK92" s="32">
        <v>0.64244796735980758</v>
      </c>
      <c r="CL92" s="32"/>
      <c r="CM92" s="32">
        <v>0</v>
      </c>
      <c r="CN92" s="32"/>
      <c r="CO92" s="32">
        <v>0</v>
      </c>
      <c r="CP92" s="32">
        <v>0</v>
      </c>
      <c r="CQ92" s="32">
        <v>0</v>
      </c>
      <c r="CR92" s="32">
        <v>0</v>
      </c>
      <c r="CS92" s="32">
        <v>0</v>
      </c>
      <c r="CT92" s="32">
        <v>0</v>
      </c>
      <c r="CU92" s="32">
        <v>71.957818527320882</v>
      </c>
      <c r="CV92" s="32">
        <v>9999</v>
      </c>
      <c r="CW92" s="384">
        <v>0</v>
      </c>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row>
    <row r="93" spans="1:131">
      <c r="A93" s="11" t="s">
        <v>669</v>
      </c>
      <c r="B93" s="11"/>
      <c r="C93" s="32">
        <v>16.279069767441861</v>
      </c>
      <c r="D93" s="32">
        <v>305.29999999999995</v>
      </c>
      <c r="E93" s="32">
        <v>0</v>
      </c>
      <c r="F93" s="32">
        <v>113.40810404906972</v>
      </c>
      <c r="G93" s="32">
        <v>-28</v>
      </c>
      <c r="H93" s="32">
        <v>-75.99143986970131</v>
      </c>
      <c r="I93" s="32"/>
      <c r="J93" s="32"/>
      <c r="K93" s="32"/>
      <c r="L93" s="32">
        <v>345.42828990947618</v>
      </c>
      <c r="M93" s="32">
        <v>8.0741428992020942E-2</v>
      </c>
      <c r="N93" s="32">
        <v>7.6604771339678288E-2</v>
      </c>
      <c r="O93" s="32">
        <v>0</v>
      </c>
      <c r="P93" s="32">
        <v>0</v>
      </c>
      <c r="Q93" s="32">
        <v>0</v>
      </c>
      <c r="R93" s="32">
        <v>22.61509090978879</v>
      </c>
      <c r="S93" s="32">
        <v>5.5992895024941172</v>
      </c>
      <c r="T93" s="32">
        <v>46.713463932730413</v>
      </c>
      <c r="U93" s="32">
        <v>66.553221979498687</v>
      </c>
      <c r="V93" s="32">
        <v>6.8044862429441837</v>
      </c>
      <c r="W93" s="32">
        <v>1.7011215607360455</v>
      </c>
      <c r="X93" s="32">
        <v>14.176013006133715</v>
      </c>
      <c r="Y93" s="32">
        <v>0</v>
      </c>
      <c r="Z93" s="32">
        <v>0</v>
      </c>
      <c r="AA93" s="32">
        <v>0</v>
      </c>
      <c r="AB93" s="32">
        <v>0</v>
      </c>
      <c r="AC93" s="32">
        <v>-380.52913765909528</v>
      </c>
      <c r="AD93" s="32">
        <v>0</v>
      </c>
      <c r="AE93" s="32">
        <v>0</v>
      </c>
      <c r="AF93" s="32">
        <v>0</v>
      </c>
      <c r="AG93" s="32">
        <v>-75.99143986970131</v>
      </c>
      <c r="AH93" s="32">
        <v>29.419577152732973</v>
      </c>
      <c r="AI93" s="32">
        <v>7.3004110632301629</v>
      </c>
      <c r="AJ93" s="32">
        <v>60.889476938864128</v>
      </c>
      <c r="AK93" s="32">
        <v>-389.96735554929791</v>
      </c>
      <c r="AL93" s="32">
        <v>-292.35789039447064</v>
      </c>
      <c r="AM93" s="32">
        <v>165.67509173930594</v>
      </c>
      <c r="AN93" s="32">
        <v>28.529861608575583</v>
      </c>
      <c r="AO93" s="32">
        <v>19.42049533478815</v>
      </c>
      <c r="AP93" s="32">
        <v>0</v>
      </c>
      <c r="AQ93" s="32">
        <v>213.62544868266966</v>
      </c>
      <c r="AR93" s="32">
        <v>29.419577152732973</v>
      </c>
      <c r="AS93" s="383">
        <v>7.2613364758311834</v>
      </c>
      <c r="AT93" s="32">
        <v>165.67509173930594</v>
      </c>
      <c r="AU93" s="32">
        <v>32.273599104723516</v>
      </c>
      <c r="AV93" s="32">
        <v>19.794869084402944</v>
      </c>
      <c r="AW93" s="32">
        <v>0</v>
      </c>
      <c r="AX93" s="32">
        <v>217.74355992843238</v>
      </c>
      <c r="AY93" s="32">
        <v>7.3004110632301629</v>
      </c>
      <c r="AZ93" s="383">
        <v>29.826205407136193</v>
      </c>
      <c r="BA93" s="32">
        <v>165.67509173930594</v>
      </c>
      <c r="BB93" s="32">
        <v>60.803460713299103</v>
      </c>
      <c r="BC93" s="32">
        <v>22.647855245260505</v>
      </c>
      <c r="BD93" s="32">
        <v>0</v>
      </c>
      <c r="BE93" s="32">
        <v>249.12640769786552</v>
      </c>
      <c r="BF93" s="32">
        <v>36.719988215963134</v>
      </c>
      <c r="BG93" s="32">
        <v>-9.9545202026799231</v>
      </c>
      <c r="BH93" s="383">
        <v>6.7844904043178254</v>
      </c>
      <c r="BI93" s="32">
        <v>6.2668404530315955</v>
      </c>
      <c r="BJ93" s="32">
        <v>1.5551043149700785</v>
      </c>
      <c r="BK93" s="32">
        <v>12.970432418637271</v>
      </c>
      <c r="BL93" s="32">
        <v>-83.069283641660675</v>
      </c>
      <c r="BM93" s="32">
        <v>-62.276906455021731</v>
      </c>
      <c r="BN93" s="32">
        <v>165.67509173930594</v>
      </c>
      <c r="BO93" s="32">
        <v>0</v>
      </c>
      <c r="BP93" s="32">
        <v>60.803460713299103</v>
      </c>
      <c r="BQ93" s="32">
        <v>0</v>
      </c>
      <c r="BR93" s="32">
        <v>0</v>
      </c>
      <c r="BS93" s="32">
        <v>0</v>
      </c>
      <c r="BT93" s="32">
        <v>0</v>
      </c>
      <c r="BU93" s="32">
        <v>0</v>
      </c>
      <c r="BV93" s="32">
        <v>0</v>
      </c>
      <c r="BW93" s="32">
        <v>22.647855245260505</v>
      </c>
      <c r="BX93" s="32">
        <v>141.481066324512</v>
      </c>
      <c r="BY93" s="32">
        <v>22.681620809813946</v>
      </c>
      <c r="BZ93" s="32">
        <v>-380.52913765909528</v>
      </c>
      <c r="CA93" s="32">
        <v>-75.99143986970131</v>
      </c>
      <c r="CB93" s="32">
        <v>249.12640769786555</v>
      </c>
      <c r="CC93" s="32">
        <v>-292.3578903944707</v>
      </c>
      <c r="CD93" s="383">
        <v>4.2984614685873614</v>
      </c>
      <c r="CE93" s="32">
        <v>-80.053371425703361</v>
      </c>
      <c r="CF93" s="32">
        <v>3.2815839422367321</v>
      </c>
      <c r="CG93" s="32">
        <v>0</v>
      </c>
      <c r="CH93" s="32">
        <v>3.2815839422367321</v>
      </c>
      <c r="CI93" s="32">
        <v>0.16407843770700115</v>
      </c>
      <c r="CJ93" s="32">
        <v>0</v>
      </c>
      <c r="CK93" s="32">
        <v>0.16407843770700115</v>
      </c>
      <c r="CL93" s="32"/>
      <c r="CM93" s="32">
        <v>0</v>
      </c>
      <c r="CN93" s="32"/>
      <c r="CO93" s="32">
        <v>0</v>
      </c>
      <c r="CP93" s="32">
        <v>0</v>
      </c>
      <c r="CQ93" s="32">
        <v>0</v>
      </c>
      <c r="CR93" s="32">
        <v>0</v>
      </c>
      <c r="CS93" s="32">
        <v>0</v>
      </c>
      <c r="CT93" s="32">
        <v>0</v>
      </c>
      <c r="CU93" s="32">
        <v>60.889476938864128</v>
      </c>
      <c r="CV93" s="32">
        <v>9999</v>
      </c>
      <c r="CW93" s="384">
        <v>0</v>
      </c>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row>
    <row r="94" spans="1:131">
      <c r="A94" s="11" t="s">
        <v>671</v>
      </c>
      <c r="B94" s="11"/>
      <c r="C94" s="32">
        <v>16.279069767441861</v>
      </c>
      <c r="D94" s="32">
        <v>666.5</v>
      </c>
      <c r="E94" s="32">
        <v>0</v>
      </c>
      <c r="F94" s="32">
        <v>162.01157721295672</v>
      </c>
      <c r="G94" s="32">
        <v>-28</v>
      </c>
      <c r="H94" s="32">
        <v>-78.952145319170185</v>
      </c>
      <c r="I94" s="32"/>
      <c r="J94" s="32"/>
      <c r="K94" s="32"/>
      <c r="L94" s="32">
        <v>754.1040131826594</v>
      </c>
      <c r="M94" s="32">
        <v>0.1762664999121584</v>
      </c>
      <c r="N94" s="32">
        <v>0.16723576841760757</v>
      </c>
      <c r="O94" s="32">
        <v>0</v>
      </c>
      <c r="P94" s="32">
        <v>0</v>
      </c>
      <c r="Q94" s="32">
        <v>0</v>
      </c>
      <c r="R94" s="32">
        <v>32.307272728269702</v>
      </c>
      <c r="S94" s="32">
        <v>7.998985003563023</v>
      </c>
      <c r="T94" s="32">
        <v>66.733519903900572</v>
      </c>
      <c r="U94" s="32">
        <v>95.076031399283835</v>
      </c>
      <c r="V94" s="32">
        <v>9.7206946327774038</v>
      </c>
      <c r="W94" s="32">
        <v>2.4301736581943505</v>
      </c>
      <c r="X94" s="32">
        <v>20.25144715161959</v>
      </c>
      <c r="Y94" s="32">
        <v>0</v>
      </c>
      <c r="Z94" s="32">
        <v>0</v>
      </c>
      <c r="AA94" s="32">
        <v>0</v>
      </c>
      <c r="AB94" s="32">
        <v>0</v>
      </c>
      <c r="AC94" s="32">
        <v>-380.52913765909528</v>
      </c>
      <c r="AD94" s="32">
        <v>0</v>
      </c>
      <c r="AE94" s="32">
        <v>0</v>
      </c>
      <c r="AF94" s="32">
        <v>0</v>
      </c>
      <c r="AG94" s="32">
        <v>-78.952145319170185</v>
      </c>
      <c r="AH94" s="32">
        <v>42.027967361047104</v>
      </c>
      <c r="AI94" s="32">
        <v>10.429158661757373</v>
      </c>
      <c r="AJ94" s="32">
        <v>86.984967055520158</v>
      </c>
      <c r="AK94" s="32">
        <v>-364.40525157898162</v>
      </c>
      <c r="AL94" s="32">
        <v>-224.96315850065702</v>
      </c>
      <c r="AM94" s="32">
        <v>361.68505943087922</v>
      </c>
      <c r="AN94" s="32">
        <v>62.283500694777707</v>
      </c>
      <c r="AO94" s="32">
        <v>42.396856012565692</v>
      </c>
      <c r="AP94" s="32">
        <v>0</v>
      </c>
      <c r="AQ94" s="32">
        <v>466.36541613822266</v>
      </c>
      <c r="AR94" s="32">
        <v>42.027967361047104</v>
      </c>
      <c r="AS94" s="383">
        <v>11.096549403206813</v>
      </c>
      <c r="AT94" s="32">
        <v>361.68505943087922</v>
      </c>
      <c r="AU94" s="32">
        <v>70.456448749748532</v>
      </c>
      <c r="AV94" s="32">
        <v>43.214150818062777</v>
      </c>
      <c r="AW94" s="32">
        <v>0</v>
      </c>
      <c r="AX94" s="32">
        <v>475.3556589986905</v>
      </c>
      <c r="AY94" s="32">
        <v>10.429158661757373</v>
      </c>
      <c r="AZ94" s="383">
        <v>45.579482910905327</v>
      </c>
      <c r="BA94" s="32">
        <v>361.68505943087922</v>
      </c>
      <c r="BB94" s="32">
        <v>132.73994944452625</v>
      </c>
      <c r="BC94" s="32">
        <v>49.442500887540547</v>
      </c>
      <c r="BD94" s="32">
        <v>0</v>
      </c>
      <c r="BE94" s="32">
        <v>543.86750976294604</v>
      </c>
      <c r="BF94" s="32">
        <v>52.457126022804474</v>
      </c>
      <c r="BG94" s="32">
        <v>-12.657957334477748</v>
      </c>
      <c r="BH94" s="383">
        <v>10.367848012232175</v>
      </c>
      <c r="BI94" s="32">
        <v>4.1008817711082326</v>
      </c>
      <c r="BJ94" s="32">
        <v>1.0176258650956271</v>
      </c>
      <c r="BK94" s="32">
        <v>8.4875640711819891</v>
      </c>
      <c r="BL94" s="32">
        <v>-35.556867184621403</v>
      </c>
      <c r="BM94" s="32">
        <v>-21.950795477235552</v>
      </c>
      <c r="BN94" s="32">
        <v>361.68505943087922</v>
      </c>
      <c r="BO94" s="32">
        <v>0</v>
      </c>
      <c r="BP94" s="32">
        <v>132.73994944452625</v>
      </c>
      <c r="BQ94" s="32">
        <v>0</v>
      </c>
      <c r="BR94" s="32">
        <v>0</v>
      </c>
      <c r="BS94" s="32">
        <v>0</v>
      </c>
      <c r="BT94" s="32">
        <v>0</v>
      </c>
      <c r="BU94" s="32">
        <v>0</v>
      </c>
      <c r="BV94" s="32">
        <v>0</v>
      </c>
      <c r="BW94" s="32">
        <v>49.442500887540547</v>
      </c>
      <c r="BX94" s="32">
        <v>202.11580903501712</v>
      </c>
      <c r="BY94" s="32">
        <v>32.402315442591345</v>
      </c>
      <c r="BZ94" s="32">
        <v>-380.52913765909528</v>
      </c>
      <c r="CA94" s="32">
        <v>-78.952145319170185</v>
      </c>
      <c r="CB94" s="32">
        <v>543.86750976294604</v>
      </c>
      <c r="CC94" s="32">
        <v>-224.96315850065699</v>
      </c>
      <c r="CD94" s="383">
        <v>4.2783422175841688</v>
      </c>
      <c r="CE94" s="32">
        <v>-39.727260447917153</v>
      </c>
      <c r="CF94" s="32">
        <v>7.1640212823477789</v>
      </c>
      <c r="CG94" s="32">
        <v>0</v>
      </c>
      <c r="CH94" s="32">
        <v>7.1640212823477789</v>
      </c>
      <c r="CI94" s="32">
        <v>0.35819940626176316</v>
      </c>
      <c r="CJ94" s="32">
        <v>0</v>
      </c>
      <c r="CK94" s="32">
        <v>0.35819940626176316</v>
      </c>
      <c r="CL94" s="32"/>
      <c r="CM94" s="32">
        <v>0</v>
      </c>
      <c r="CN94" s="32"/>
      <c r="CO94" s="32">
        <v>0</v>
      </c>
      <c r="CP94" s="32">
        <v>0</v>
      </c>
      <c r="CQ94" s="32">
        <v>0</v>
      </c>
      <c r="CR94" s="32">
        <v>0</v>
      </c>
      <c r="CS94" s="32">
        <v>0</v>
      </c>
      <c r="CT94" s="32">
        <v>0</v>
      </c>
      <c r="CU94" s="32">
        <v>86.984967055520158</v>
      </c>
      <c r="CV94" s="32">
        <v>9999</v>
      </c>
      <c r="CW94" s="384">
        <v>0</v>
      </c>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row>
    <row r="95" spans="1:131">
      <c r="A95" s="11" t="s">
        <v>668</v>
      </c>
      <c r="B95" s="11"/>
      <c r="C95" s="32">
        <v>16.279069767441861</v>
      </c>
      <c r="D95" s="32">
        <v>2919.7</v>
      </c>
      <c r="E95" s="32">
        <v>0</v>
      </c>
      <c r="F95" s="32">
        <v>532.0694632777404</v>
      </c>
      <c r="G95" s="32">
        <v>-28</v>
      </c>
      <c r="H95" s="32">
        <v>-90.31623696009656</v>
      </c>
      <c r="I95" s="32"/>
      <c r="J95" s="32"/>
      <c r="K95" s="32"/>
      <c r="L95" s="32">
        <v>3303.4620964582305</v>
      </c>
      <c r="M95" s="32">
        <v>0.77216098993777771</v>
      </c>
      <c r="N95" s="32">
        <v>0.73260055971326143</v>
      </c>
      <c r="O95" s="32">
        <v>0</v>
      </c>
      <c r="P95" s="32">
        <v>0</v>
      </c>
      <c r="Q95" s="32">
        <v>0</v>
      </c>
      <c r="R95" s="32">
        <v>106.10175862866241</v>
      </c>
      <c r="S95" s="32">
        <v>26.269824236191074</v>
      </c>
      <c r="T95" s="32">
        <v>219.16253596636892</v>
      </c>
      <c r="U95" s="32">
        <v>312.24344498973795</v>
      </c>
      <c r="V95" s="32">
        <v>31.924167796664424</v>
      </c>
      <c r="W95" s="32">
        <v>7.9810419491661042</v>
      </c>
      <c r="X95" s="32">
        <v>66.50868290971755</v>
      </c>
      <c r="Y95" s="32">
        <v>0</v>
      </c>
      <c r="Z95" s="32">
        <v>0</v>
      </c>
      <c r="AA95" s="32">
        <v>0</v>
      </c>
      <c r="AB95" s="32">
        <v>0</v>
      </c>
      <c r="AC95" s="32">
        <v>-380.52913765909528</v>
      </c>
      <c r="AD95" s="32">
        <v>0</v>
      </c>
      <c r="AE95" s="32">
        <v>0</v>
      </c>
      <c r="AF95" s="32">
        <v>0</v>
      </c>
      <c r="AG95" s="32">
        <v>-90.31623696009656</v>
      </c>
      <c r="AH95" s="32">
        <v>138.02592642532684</v>
      </c>
      <c r="AI95" s="32">
        <v>34.250866185357175</v>
      </c>
      <c r="AJ95" s="32">
        <v>285.67121887608647</v>
      </c>
      <c r="AK95" s="32">
        <v>-158.60192962945388</v>
      </c>
      <c r="AL95" s="32">
        <v>299.34608185731651</v>
      </c>
      <c r="AM95" s="32">
        <v>1584.4139055068827</v>
      </c>
      <c r="AN95" s="32">
        <v>272.84191594680038</v>
      </c>
      <c r="AO95" s="32">
        <v>185.72558214536832</v>
      </c>
      <c r="AP95" s="32">
        <v>0</v>
      </c>
      <c r="AQ95" s="32">
        <v>2042.9814035990512</v>
      </c>
      <c r="AR95" s="32">
        <v>138.02592642532684</v>
      </c>
      <c r="AS95" s="383">
        <v>14.801432285291133</v>
      </c>
      <c r="AT95" s="32">
        <v>1584.4139055068827</v>
      </c>
      <c r="AU95" s="32">
        <v>308.64470129728545</v>
      </c>
      <c r="AV95" s="32">
        <v>189.30586068041683</v>
      </c>
      <c r="AW95" s="32">
        <v>0</v>
      </c>
      <c r="AX95" s="32">
        <v>2082.364467484585</v>
      </c>
      <c r="AY95" s="32">
        <v>34.250866185357175</v>
      </c>
      <c r="AZ95" s="383">
        <v>60.797424982344857</v>
      </c>
      <c r="BA95" s="32">
        <v>1584.4139055068827</v>
      </c>
      <c r="BB95" s="32">
        <v>581.48661724408589</v>
      </c>
      <c r="BC95" s="32">
        <v>216.59005227509687</v>
      </c>
      <c r="BD95" s="32">
        <v>0</v>
      </c>
      <c r="BE95" s="32">
        <v>2382.490575026065</v>
      </c>
      <c r="BF95" s="32">
        <v>172.276792610684</v>
      </c>
      <c r="BG95" s="32">
        <v>-13.939148975778181</v>
      </c>
      <c r="BH95" s="383">
        <v>13.829434243125741</v>
      </c>
      <c r="BI95" s="32">
        <v>3.0744076851963693</v>
      </c>
      <c r="BJ95" s="32">
        <v>0.76290830970704138</v>
      </c>
      <c r="BK95" s="32">
        <v>6.3630783976458618</v>
      </c>
      <c r="BL95" s="32">
        <v>-3.5327202937019671</v>
      </c>
      <c r="BM95" s="32">
        <v>6.6676740988473027</v>
      </c>
      <c r="BN95" s="32">
        <v>1584.4139055068827</v>
      </c>
      <c r="BO95" s="32">
        <v>0</v>
      </c>
      <c r="BP95" s="32">
        <v>581.48661724408589</v>
      </c>
      <c r="BQ95" s="32">
        <v>0</v>
      </c>
      <c r="BR95" s="32">
        <v>0</v>
      </c>
      <c r="BS95" s="32">
        <v>0</v>
      </c>
      <c r="BT95" s="32">
        <v>0</v>
      </c>
      <c r="BU95" s="32">
        <v>0</v>
      </c>
      <c r="BV95" s="32">
        <v>0</v>
      </c>
      <c r="BW95" s="32">
        <v>216.59005227509687</v>
      </c>
      <c r="BX95" s="32">
        <v>663.77756382096027</v>
      </c>
      <c r="BY95" s="32">
        <v>106.41389265554808</v>
      </c>
      <c r="BZ95" s="32">
        <v>-380.52913765909528</v>
      </c>
      <c r="CA95" s="32">
        <v>-90.31623696009656</v>
      </c>
      <c r="CB95" s="32">
        <v>2382.490575026065</v>
      </c>
      <c r="CC95" s="32">
        <v>299.34608185731651</v>
      </c>
      <c r="CD95" s="383">
        <v>3.7047099466654321</v>
      </c>
      <c r="CE95" s="32">
        <v>-11.108790871834286</v>
      </c>
      <c r="CF95" s="32">
        <v>31.383035165897827</v>
      </c>
      <c r="CG95" s="32">
        <v>0</v>
      </c>
      <c r="CH95" s="32">
        <v>31.383035165897827</v>
      </c>
      <c r="CI95" s="32">
        <v>1.5691444958176588</v>
      </c>
      <c r="CJ95" s="32">
        <v>0</v>
      </c>
      <c r="CK95" s="32">
        <v>1.5691444958176588</v>
      </c>
      <c r="CL95" s="32"/>
      <c r="CM95" s="32">
        <v>0</v>
      </c>
      <c r="CN95" s="32"/>
      <c r="CO95" s="32">
        <v>0</v>
      </c>
      <c r="CP95" s="32">
        <v>0</v>
      </c>
      <c r="CQ95" s="32">
        <v>0</v>
      </c>
      <c r="CR95" s="32">
        <v>0</v>
      </c>
      <c r="CS95" s="32">
        <v>0</v>
      </c>
      <c r="CT95" s="32">
        <v>0</v>
      </c>
      <c r="CU95" s="32">
        <v>285.67121887608647</v>
      </c>
      <c r="CV95" s="32">
        <v>9999</v>
      </c>
      <c r="CW95" s="384">
        <v>0</v>
      </c>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row>
    <row r="96" spans="1:131">
      <c r="A96" s="11" t="s">
        <v>670</v>
      </c>
      <c r="B96" s="11"/>
      <c r="C96" s="32">
        <v>16.279069767441861</v>
      </c>
      <c r="D96" s="32">
        <v>408.5</v>
      </c>
      <c r="E96" s="32">
        <v>0</v>
      </c>
      <c r="F96" s="32">
        <v>162.01157721295672</v>
      </c>
      <c r="G96" s="32">
        <v>-28</v>
      </c>
      <c r="H96" s="32">
        <v>-78.952145319170185</v>
      </c>
      <c r="I96" s="32"/>
      <c r="J96" s="32"/>
      <c r="K96" s="32"/>
      <c r="L96" s="32">
        <v>462.19278227324287</v>
      </c>
      <c r="M96" s="32">
        <v>0.10803430639777449</v>
      </c>
      <c r="N96" s="32">
        <v>0.10249934193337237</v>
      </c>
      <c r="O96" s="32">
        <v>0</v>
      </c>
      <c r="P96" s="32">
        <v>0</v>
      </c>
      <c r="Q96" s="32">
        <v>0</v>
      </c>
      <c r="R96" s="32">
        <v>32.307272728269702</v>
      </c>
      <c r="S96" s="32">
        <v>7.998985003563023</v>
      </c>
      <c r="T96" s="32">
        <v>66.733519903900572</v>
      </c>
      <c r="U96" s="32">
        <v>95.076031399283835</v>
      </c>
      <c r="V96" s="32">
        <v>9.7206946327774038</v>
      </c>
      <c r="W96" s="32">
        <v>2.4301736581943505</v>
      </c>
      <c r="X96" s="32">
        <v>20.25144715161959</v>
      </c>
      <c r="Y96" s="32">
        <v>0</v>
      </c>
      <c r="Z96" s="32">
        <v>0</v>
      </c>
      <c r="AA96" s="32">
        <v>0</v>
      </c>
      <c r="AB96" s="32">
        <v>0</v>
      </c>
      <c r="AC96" s="32">
        <v>-380.52913765909528</v>
      </c>
      <c r="AD96" s="32">
        <v>0</v>
      </c>
      <c r="AE96" s="32">
        <v>0</v>
      </c>
      <c r="AF96" s="32">
        <v>0</v>
      </c>
      <c r="AG96" s="32">
        <v>-78.952145319170185</v>
      </c>
      <c r="AH96" s="32">
        <v>42.027967361047104</v>
      </c>
      <c r="AI96" s="32">
        <v>10.429158661757373</v>
      </c>
      <c r="AJ96" s="32">
        <v>86.984967055520158</v>
      </c>
      <c r="AK96" s="32">
        <v>-364.40525157898162</v>
      </c>
      <c r="AL96" s="32">
        <v>-224.96315850065702</v>
      </c>
      <c r="AM96" s="32">
        <v>221.67793965118409</v>
      </c>
      <c r="AN96" s="32">
        <v>38.173758490347623</v>
      </c>
      <c r="AO96" s="32">
        <v>25.985169814153174</v>
      </c>
      <c r="AP96" s="32">
        <v>0</v>
      </c>
      <c r="AQ96" s="32">
        <v>285.83686795568485</v>
      </c>
      <c r="AR96" s="32">
        <v>42.027967361047104</v>
      </c>
      <c r="AS96" s="383">
        <v>6.8011109245461112</v>
      </c>
      <c r="AT96" s="32">
        <v>221.67793965118409</v>
      </c>
      <c r="AU96" s="32">
        <v>43.182984717587814</v>
      </c>
      <c r="AV96" s="32">
        <v>26.486092436877193</v>
      </c>
      <c r="AW96" s="32">
        <v>0</v>
      </c>
      <c r="AX96" s="32">
        <v>291.3470168056491</v>
      </c>
      <c r="AY96" s="32">
        <v>10.429158661757373</v>
      </c>
      <c r="AZ96" s="383">
        <v>27.935812106683919</v>
      </c>
      <c r="BA96" s="32">
        <v>221.67793965118409</v>
      </c>
      <c r="BB96" s="32">
        <v>81.356743207935438</v>
      </c>
      <c r="BC96" s="32">
        <v>30.303468285911954</v>
      </c>
      <c r="BD96" s="32">
        <v>0</v>
      </c>
      <c r="BE96" s="32">
        <v>333.33815114503147</v>
      </c>
      <c r="BF96" s="32">
        <v>52.457126022804474</v>
      </c>
      <c r="BG96" s="32">
        <v>-9.4252156695068887</v>
      </c>
      <c r="BH96" s="383">
        <v>6.3544874913681078</v>
      </c>
      <c r="BI96" s="32">
        <v>6.6909123633871159</v>
      </c>
      <c r="BJ96" s="32">
        <v>1.6603369377876021</v>
      </c>
      <c r="BK96" s="32">
        <v>13.848130852981141</v>
      </c>
      <c r="BL96" s="32">
        <v>-58.013835932803339</v>
      </c>
      <c r="BM96" s="32">
        <v>-35.814455778647485</v>
      </c>
      <c r="BN96" s="32">
        <v>221.67793965118409</v>
      </c>
      <c r="BO96" s="32">
        <v>0</v>
      </c>
      <c r="BP96" s="32">
        <v>81.356743207935438</v>
      </c>
      <c r="BQ96" s="32">
        <v>0</v>
      </c>
      <c r="BR96" s="32">
        <v>0</v>
      </c>
      <c r="BS96" s="32">
        <v>0</v>
      </c>
      <c r="BT96" s="32">
        <v>0</v>
      </c>
      <c r="BU96" s="32">
        <v>0</v>
      </c>
      <c r="BV96" s="32">
        <v>0</v>
      </c>
      <c r="BW96" s="32">
        <v>30.303468285911954</v>
      </c>
      <c r="BX96" s="32">
        <v>202.11580903501712</v>
      </c>
      <c r="BY96" s="32">
        <v>32.402315442591345</v>
      </c>
      <c r="BZ96" s="32">
        <v>-380.52913765909528</v>
      </c>
      <c r="CA96" s="32">
        <v>-78.952145319170185</v>
      </c>
      <c r="CB96" s="32">
        <v>333.33815114503147</v>
      </c>
      <c r="CC96" s="32">
        <v>-224.96315850065699</v>
      </c>
      <c r="CD96" s="383">
        <v>3.3806318206292603</v>
      </c>
      <c r="CE96" s="32">
        <v>-53.590920749329072</v>
      </c>
      <c r="CF96" s="32">
        <v>4.3908517536970244</v>
      </c>
      <c r="CG96" s="32">
        <v>0</v>
      </c>
      <c r="CH96" s="32">
        <v>4.3908517536970244</v>
      </c>
      <c r="CI96" s="32">
        <v>0.21954157157979032</v>
      </c>
      <c r="CJ96" s="32">
        <v>0</v>
      </c>
      <c r="CK96" s="32">
        <v>0.21954157157979032</v>
      </c>
      <c r="CL96" s="32"/>
      <c r="CM96" s="32">
        <v>0</v>
      </c>
      <c r="CN96" s="32"/>
      <c r="CO96" s="32">
        <v>0</v>
      </c>
      <c r="CP96" s="32">
        <v>0</v>
      </c>
      <c r="CQ96" s="32">
        <v>0</v>
      </c>
      <c r="CR96" s="32">
        <v>0</v>
      </c>
      <c r="CS96" s="32">
        <v>0</v>
      </c>
      <c r="CT96" s="32">
        <v>0</v>
      </c>
      <c r="CU96" s="32">
        <v>86.984967055520158</v>
      </c>
      <c r="CV96" s="32">
        <v>9999</v>
      </c>
      <c r="CW96" s="384">
        <v>0</v>
      </c>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row>
    <row r="97" spans="1:131">
      <c r="A97" s="11" t="s">
        <v>672</v>
      </c>
      <c r="B97" s="11"/>
      <c r="C97" s="32">
        <v>16.279069767441861</v>
      </c>
      <c r="D97" s="32">
        <v>1195.4000000000001</v>
      </c>
      <c r="E97" s="32">
        <v>0</v>
      </c>
      <c r="F97" s="32">
        <v>324.02315442591345</v>
      </c>
      <c r="G97" s="32">
        <v>-28</v>
      </c>
      <c r="H97" s="32">
        <v>-88.191149031623709</v>
      </c>
      <c r="I97" s="32"/>
      <c r="J97" s="32"/>
      <c r="K97" s="32"/>
      <c r="L97" s="32">
        <v>1352.5220365469634</v>
      </c>
      <c r="M97" s="32">
        <v>0.3161424966166454</v>
      </c>
      <c r="N97" s="32">
        <v>0.29994544271028972</v>
      </c>
      <c r="O97" s="32">
        <v>0</v>
      </c>
      <c r="P97" s="32">
        <v>0</v>
      </c>
      <c r="Q97" s="32">
        <v>0</v>
      </c>
      <c r="R97" s="32">
        <v>64.614545456539403</v>
      </c>
      <c r="S97" s="32">
        <v>15.997970007126046</v>
      </c>
      <c r="T97" s="32">
        <v>133.46703980780114</v>
      </c>
      <c r="U97" s="32">
        <v>190.15206279856767</v>
      </c>
      <c r="V97" s="32">
        <v>19.441389265554808</v>
      </c>
      <c r="W97" s="32">
        <v>4.860347316388701</v>
      </c>
      <c r="X97" s="32">
        <v>40.502894303239181</v>
      </c>
      <c r="Y97" s="32">
        <v>0</v>
      </c>
      <c r="Z97" s="32">
        <v>0</v>
      </c>
      <c r="AA97" s="32">
        <v>0</v>
      </c>
      <c r="AB97" s="32">
        <v>0</v>
      </c>
      <c r="AC97" s="32">
        <v>-380.52913765909528</v>
      </c>
      <c r="AD97" s="32">
        <v>0</v>
      </c>
      <c r="AE97" s="32">
        <v>0</v>
      </c>
      <c r="AF97" s="32">
        <v>0</v>
      </c>
      <c r="AG97" s="32">
        <v>-88.191149031623709</v>
      </c>
      <c r="AH97" s="32">
        <v>84.055934722094207</v>
      </c>
      <c r="AI97" s="32">
        <v>20.858317323514747</v>
      </c>
      <c r="AJ97" s="32">
        <v>173.96993411104032</v>
      </c>
      <c r="AK97" s="32">
        <v>-278.56822389215131</v>
      </c>
      <c r="AL97" s="32">
        <v>0.31596226449794074</v>
      </c>
      <c r="AM97" s="32">
        <v>648.69965497925489</v>
      </c>
      <c r="AN97" s="32">
        <v>111.70847221385941</v>
      </c>
      <c r="AO97" s="32">
        <v>76.040812719311432</v>
      </c>
      <c r="AP97" s="32">
        <v>0</v>
      </c>
      <c r="AQ97" s="32">
        <v>836.44893991242577</v>
      </c>
      <c r="AR97" s="32">
        <v>84.055934722094207</v>
      </c>
      <c r="AS97" s="383">
        <v>9.9510991422306336</v>
      </c>
      <c r="AT97" s="32">
        <v>648.69965497925489</v>
      </c>
      <c r="AU97" s="32">
        <v>126.36705001567803</v>
      </c>
      <c r="AV97" s="32">
        <v>77.506670499493296</v>
      </c>
      <c r="AW97" s="32">
        <v>0</v>
      </c>
      <c r="AX97" s="32">
        <v>852.57337549442627</v>
      </c>
      <c r="AY97" s="32">
        <v>20.858317323514747</v>
      </c>
      <c r="AZ97" s="383">
        <v>40.874504029779651</v>
      </c>
      <c r="BA97" s="32">
        <v>648.69965497925489</v>
      </c>
      <c r="BB97" s="32">
        <v>238.07552222953746</v>
      </c>
      <c r="BC97" s="32">
        <v>88.677517720879237</v>
      </c>
      <c r="BD97" s="32">
        <v>0</v>
      </c>
      <c r="BE97" s="32">
        <v>975.45269492967157</v>
      </c>
      <c r="BF97" s="32">
        <v>104.91425204560895</v>
      </c>
      <c r="BG97" s="32">
        <v>-12.06877659937515</v>
      </c>
      <c r="BH97" s="383">
        <v>9.2976185400017624</v>
      </c>
      <c r="BI97" s="32">
        <v>4.5729257159839998</v>
      </c>
      <c r="BJ97" s="32">
        <v>1.1347626553224619</v>
      </c>
      <c r="BK97" s="32">
        <v>9.4645498635482621</v>
      </c>
      <c r="BL97" s="32">
        <v>-15.155048824382039</v>
      </c>
      <c r="BM97" s="32">
        <v>1.7189410472683558E-2</v>
      </c>
      <c r="BN97" s="32">
        <v>648.69965497925489</v>
      </c>
      <c r="BO97" s="32">
        <v>0</v>
      </c>
      <c r="BP97" s="32">
        <v>238.07552222953746</v>
      </c>
      <c r="BQ97" s="32">
        <v>0</v>
      </c>
      <c r="BR97" s="32">
        <v>0</v>
      </c>
      <c r="BS97" s="32">
        <v>0</v>
      </c>
      <c r="BT97" s="32">
        <v>0</v>
      </c>
      <c r="BU97" s="32">
        <v>0</v>
      </c>
      <c r="BV97" s="32">
        <v>0</v>
      </c>
      <c r="BW97" s="32">
        <v>88.677517720879237</v>
      </c>
      <c r="BX97" s="32">
        <v>404.23161807003424</v>
      </c>
      <c r="BY97" s="32">
        <v>64.804630885182689</v>
      </c>
      <c r="BZ97" s="32">
        <v>-380.52913765909528</v>
      </c>
      <c r="CA97" s="32">
        <v>-88.191149031623709</v>
      </c>
      <c r="CB97" s="32">
        <v>975.45269492967157</v>
      </c>
      <c r="CC97" s="32">
        <v>0.31596226449794074</v>
      </c>
      <c r="CD97" s="383">
        <v>3.079022111483495</v>
      </c>
      <c r="CE97" s="32">
        <v>-17.759275560208927</v>
      </c>
      <c r="CF97" s="32">
        <v>12.849018816081845</v>
      </c>
      <c r="CG97" s="32">
        <v>0</v>
      </c>
      <c r="CH97" s="32">
        <v>12.849018816081845</v>
      </c>
      <c r="CI97" s="32">
        <v>0.64244796735980758</v>
      </c>
      <c r="CJ97" s="32">
        <v>0</v>
      </c>
      <c r="CK97" s="32">
        <v>0.64244796735980758</v>
      </c>
      <c r="CL97" s="32"/>
      <c r="CM97" s="32">
        <v>0</v>
      </c>
      <c r="CN97" s="32"/>
      <c r="CO97" s="32">
        <v>0</v>
      </c>
      <c r="CP97" s="32">
        <v>0</v>
      </c>
      <c r="CQ97" s="32">
        <v>0</v>
      </c>
      <c r="CR97" s="32">
        <v>0</v>
      </c>
      <c r="CS97" s="32">
        <v>0</v>
      </c>
      <c r="CT97" s="32">
        <v>0</v>
      </c>
      <c r="CU97" s="32">
        <v>173.96993411104032</v>
      </c>
      <c r="CV97" s="32">
        <v>9999</v>
      </c>
      <c r="CW97" s="384">
        <v>0</v>
      </c>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row>
    <row r="98" spans="1:131">
      <c r="A98" s="11" t="s">
        <v>673</v>
      </c>
      <c r="B98" s="11"/>
      <c r="C98" s="32">
        <v>16.279069767441861</v>
      </c>
      <c r="D98" s="32">
        <v>2919.7</v>
      </c>
      <c r="E98" s="32">
        <v>0</v>
      </c>
      <c r="F98" s="32">
        <v>972.0694632777404</v>
      </c>
      <c r="G98" s="32">
        <v>-28</v>
      </c>
      <c r="H98" s="32">
        <v>-90.31623696009656</v>
      </c>
      <c r="I98" s="32"/>
      <c r="J98" s="32"/>
      <c r="K98" s="32"/>
      <c r="L98" s="32">
        <v>3303.4620964582305</v>
      </c>
      <c r="M98" s="32">
        <v>0.77216098993777771</v>
      </c>
      <c r="N98" s="32">
        <v>0.73260055971326143</v>
      </c>
      <c r="O98" s="32">
        <v>0</v>
      </c>
      <c r="P98" s="32">
        <v>0</v>
      </c>
      <c r="Q98" s="32">
        <v>0</v>
      </c>
      <c r="R98" s="32">
        <v>193.8436363696182</v>
      </c>
      <c r="S98" s="32">
        <v>47.993910021378142</v>
      </c>
      <c r="T98" s="32">
        <v>400.40111942340354</v>
      </c>
      <c r="U98" s="32">
        <v>570.45618839570307</v>
      </c>
      <c r="V98" s="32">
        <v>58.324167796664426</v>
      </c>
      <c r="W98" s="32">
        <v>14.581041949166103</v>
      </c>
      <c r="X98" s="32">
        <v>121.50868290971755</v>
      </c>
      <c r="Y98" s="32">
        <v>0</v>
      </c>
      <c r="Z98" s="32">
        <v>0</v>
      </c>
      <c r="AA98" s="32">
        <v>0</v>
      </c>
      <c r="AB98" s="32">
        <v>0</v>
      </c>
      <c r="AC98" s="32">
        <v>-380.52913765909528</v>
      </c>
      <c r="AD98" s="32">
        <v>0</v>
      </c>
      <c r="AE98" s="32">
        <v>0</v>
      </c>
      <c r="AF98" s="32">
        <v>0</v>
      </c>
      <c r="AG98" s="32">
        <v>-90.31623696009656</v>
      </c>
      <c r="AH98" s="32">
        <v>252.16780416628262</v>
      </c>
      <c r="AI98" s="32">
        <v>62.574951970544248</v>
      </c>
      <c r="AJ98" s="32">
        <v>521.90980233312109</v>
      </c>
      <c r="AK98" s="32">
        <v>99.610813776511222</v>
      </c>
      <c r="AL98" s="32">
        <v>936.2633722464592</v>
      </c>
      <c r="AM98" s="32">
        <v>1584.4139055068827</v>
      </c>
      <c r="AN98" s="32">
        <v>272.84191594680038</v>
      </c>
      <c r="AO98" s="32">
        <v>185.72558214536832</v>
      </c>
      <c r="AP98" s="32">
        <v>0</v>
      </c>
      <c r="AQ98" s="32">
        <v>2042.9814035990512</v>
      </c>
      <c r="AR98" s="32">
        <v>252.16780416628262</v>
      </c>
      <c r="AS98" s="383">
        <v>8.1016742416961502</v>
      </c>
      <c r="AT98" s="32">
        <v>1584.4139055068827</v>
      </c>
      <c r="AU98" s="32">
        <v>308.64470129728545</v>
      </c>
      <c r="AV98" s="32">
        <v>189.30586068041683</v>
      </c>
      <c r="AW98" s="32">
        <v>0</v>
      </c>
      <c r="AX98" s="32">
        <v>2082.364467484585</v>
      </c>
      <c r="AY98" s="32">
        <v>62.574951970544248</v>
      </c>
      <c r="AZ98" s="383">
        <v>33.277923544628706</v>
      </c>
      <c r="BA98" s="32">
        <v>1584.4139055068827</v>
      </c>
      <c r="BB98" s="32">
        <v>581.48661724408589</v>
      </c>
      <c r="BC98" s="32">
        <v>216.59005227509687</v>
      </c>
      <c r="BD98" s="32">
        <v>0</v>
      </c>
      <c r="BE98" s="32">
        <v>2382.490575026065</v>
      </c>
      <c r="BF98" s="32">
        <v>314.74275613682687</v>
      </c>
      <c r="BG98" s="32">
        <v>-10.765843318738163</v>
      </c>
      <c r="BH98" s="383">
        <v>7.569643871296388</v>
      </c>
      <c r="BI98" s="32">
        <v>5.6168189206637056</v>
      </c>
      <c r="BJ98" s="32">
        <v>1.3938027312797252</v>
      </c>
      <c r="BK98" s="32">
        <v>11.625087755816278</v>
      </c>
      <c r="BL98" s="32">
        <v>2.2187444006677333</v>
      </c>
      <c r="BM98" s="32">
        <v>20.854453808427444</v>
      </c>
      <c r="BN98" s="32">
        <v>1584.4139055068827</v>
      </c>
      <c r="BO98" s="32">
        <v>0</v>
      </c>
      <c r="BP98" s="32">
        <v>581.48661724408589</v>
      </c>
      <c r="BQ98" s="32">
        <v>0</v>
      </c>
      <c r="BR98" s="32">
        <v>0</v>
      </c>
      <c r="BS98" s="32">
        <v>0</v>
      </c>
      <c r="BT98" s="32">
        <v>0</v>
      </c>
      <c r="BU98" s="32">
        <v>0</v>
      </c>
      <c r="BV98" s="32">
        <v>0</v>
      </c>
      <c r="BW98" s="32">
        <v>216.59005227509687</v>
      </c>
      <c r="BX98" s="32">
        <v>1212.6948542101029</v>
      </c>
      <c r="BY98" s="32">
        <v>194.4138926555481</v>
      </c>
      <c r="BZ98" s="32">
        <v>-380.52913765909528</v>
      </c>
      <c r="CA98" s="32">
        <v>-90.31623696009656</v>
      </c>
      <c r="CB98" s="32">
        <v>2382.490575026065</v>
      </c>
      <c r="CC98" s="32">
        <v>936.26337224645908</v>
      </c>
      <c r="CD98" s="383">
        <v>2.0278005918171509</v>
      </c>
      <c r="CE98" s="32">
        <v>3.0779888377458473</v>
      </c>
      <c r="CF98" s="32">
        <v>31.383035165897827</v>
      </c>
      <c r="CG98" s="32">
        <v>0</v>
      </c>
      <c r="CH98" s="32">
        <v>31.383035165897827</v>
      </c>
      <c r="CI98" s="32">
        <v>1.5691444958176588</v>
      </c>
      <c r="CJ98" s="32">
        <v>0</v>
      </c>
      <c r="CK98" s="32">
        <v>1.5691444958176588</v>
      </c>
      <c r="CL98" s="32"/>
      <c r="CM98" s="32">
        <v>0</v>
      </c>
      <c r="CN98" s="32"/>
      <c r="CO98" s="32">
        <v>0</v>
      </c>
      <c r="CP98" s="32">
        <v>0</v>
      </c>
      <c r="CQ98" s="32">
        <v>0</v>
      </c>
      <c r="CR98" s="32">
        <v>0</v>
      </c>
      <c r="CS98" s="32">
        <v>0</v>
      </c>
      <c r="CT98" s="32">
        <v>0</v>
      </c>
      <c r="CU98" s="32">
        <v>521.90980233312109</v>
      </c>
      <c r="CV98" s="32">
        <v>9999</v>
      </c>
      <c r="CW98" s="384">
        <v>0</v>
      </c>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row>
    <row r="99" spans="1:131">
      <c r="A99" s="11"/>
      <c r="B99" s="11"/>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84"/>
      <c r="AT99" s="32"/>
      <c r="AU99" s="32"/>
      <c r="AV99" s="32"/>
      <c r="AW99" s="32"/>
      <c r="AX99" s="32"/>
      <c r="AY99" s="32"/>
      <c r="AZ99" s="384"/>
      <c r="BA99" s="32"/>
      <c r="BB99" s="32"/>
      <c r="BC99" s="32"/>
      <c r="BD99" s="32"/>
      <c r="BE99" s="32"/>
      <c r="BF99" s="32"/>
      <c r="BG99" s="32"/>
      <c r="BH99" s="384"/>
      <c r="BI99" s="32"/>
      <c r="BJ99" s="32"/>
      <c r="BK99" s="32"/>
      <c r="BL99" s="32"/>
      <c r="BM99" s="32"/>
      <c r="BN99" s="32"/>
      <c r="BO99" s="32"/>
      <c r="BP99" s="32"/>
      <c r="BQ99" s="32"/>
      <c r="BR99" s="32"/>
      <c r="BS99" s="32"/>
      <c r="BT99" s="32"/>
      <c r="BU99" s="32"/>
      <c r="BV99" s="32"/>
      <c r="BW99" s="32"/>
      <c r="BX99" s="32"/>
      <c r="BY99" s="32"/>
      <c r="BZ99" s="32"/>
      <c r="CA99" s="32"/>
      <c r="CB99" s="32"/>
      <c r="CC99" s="32"/>
      <c r="CD99" s="384"/>
      <c r="CE99" s="32"/>
      <c r="CF99" s="32"/>
      <c r="CG99" s="32"/>
      <c r="CH99" s="32"/>
      <c r="CI99" s="32"/>
      <c r="CJ99" s="32"/>
      <c r="CK99" s="32"/>
      <c r="CL99" s="32"/>
      <c r="CM99" s="32"/>
      <c r="CN99" s="32"/>
      <c r="CO99" s="32"/>
      <c r="CP99" s="32"/>
      <c r="CQ99" s="32"/>
      <c r="CR99" s="32"/>
      <c r="CS99" s="32"/>
      <c r="CT99" s="32"/>
      <c r="CU99" s="32"/>
      <c r="CV99" s="32"/>
      <c r="CW99" s="384"/>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row>
    <row r="100" spans="1:131">
      <c r="A100" s="11"/>
      <c r="B100" s="11"/>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84"/>
      <c r="AT100" s="32"/>
      <c r="AU100" s="32"/>
      <c r="AV100" s="32"/>
      <c r="AW100" s="32"/>
      <c r="AX100" s="32"/>
      <c r="AY100" s="32"/>
      <c r="AZ100" s="384"/>
      <c r="BA100" s="32"/>
      <c r="BB100" s="32"/>
      <c r="BC100" s="32"/>
      <c r="BD100" s="32"/>
      <c r="BE100" s="32"/>
      <c r="BF100" s="32"/>
      <c r="BG100" s="32"/>
      <c r="BH100" s="384"/>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84"/>
      <c r="CE100" s="32"/>
      <c r="CF100" s="32"/>
      <c r="CG100" s="32"/>
      <c r="CH100" s="32"/>
      <c r="CI100" s="32"/>
      <c r="CJ100" s="32"/>
      <c r="CK100" s="32"/>
      <c r="CL100" s="32"/>
      <c r="CM100" s="32"/>
      <c r="CN100" s="32"/>
      <c r="CO100" s="32"/>
      <c r="CP100" s="32"/>
      <c r="CQ100" s="32"/>
      <c r="CR100" s="32"/>
      <c r="CS100" s="32"/>
      <c r="CT100" s="32"/>
      <c r="CU100" s="32"/>
      <c r="CV100" s="32"/>
      <c r="CW100" s="384"/>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row>
    <row r="101" spans="1:131" ht="13.5" thickBot="1">
      <c r="A101" s="368" t="s">
        <v>613</v>
      </c>
      <c r="B101" s="370"/>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84"/>
      <c r="AT101" s="32"/>
      <c r="AU101" s="32"/>
      <c r="AV101" s="32"/>
      <c r="AW101" s="32"/>
      <c r="AX101" s="32"/>
      <c r="AY101" s="32"/>
      <c r="AZ101" s="384"/>
      <c r="BA101" s="32"/>
      <c r="BB101" s="32"/>
      <c r="BC101" s="32"/>
      <c r="BD101" s="32"/>
      <c r="BE101" s="32"/>
      <c r="BF101" s="32"/>
      <c r="BG101" s="32"/>
      <c r="BH101" s="384"/>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84"/>
      <c r="CE101" s="32"/>
      <c r="CF101" s="32"/>
      <c r="CG101" s="32"/>
      <c r="CH101" s="32"/>
      <c r="CI101" s="32"/>
      <c r="CJ101" s="32"/>
      <c r="CK101" s="32"/>
      <c r="CL101" s="32"/>
      <c r="CM101" s="32"/>
      <c r="CN101" s="32"/>
      <c r="CO101" s="32"/>
      <c r="CP101" s="32"/>
      <c r="CQ101" s="32"/>
      <c r="CR101" s="32"/>
      <c r="CS101" s="32"/>
      <c r="CT101" s="32"/>
      <c r="CU101" s="32"/>
      <c r="CV101" s="32"/>
      <c r="CW101" s="384"/>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row>
    <row r="102" spans="1:131" ht="13.5" thickBot="1">
      <c r="A102" s="385" t="s">
        <v>614</v>
      </c>
      <c r="B102" s="386"/>
      <c r="C102" s="387"/>
      <c r="D102" s="387"/>
      <c r="E102" s="387"/>
      <c r="F102" s="387"/>
      <c r="G102" s="387"/>
      <c r="H102" s="387"/>
      <c r="I102" s="387"/>
      <c r="J102" s="387"/>
      <c r="K102" s="387"/>
      <c r="L102" s="388"/>
      <c r="M102" s="389"/>
      <c r="N102" s="390" t="s">
        <v>959</v>
      </c>
      <c r="O102" s="387"/>
      <c r="P102" s="387"/>
      <c r="Q102" s="387"/>
      <c r="R102" s="387"/>
      <c r="S102" s="387"/>
      <c r="T102" s="387"/>
      <c r="U102" s="387"/>
      <c r="V102" s="387"/>
      <c r="W102" s="387"/>
      <c r="X102" s="387"/>
      <c r="Y102" s="388"/>
      <c r="Z102" s="389"/>
      <c r="AA102" s="390" t="s">
        <v>960</v>
      </c>
      <c r="AB102" s="387"/>
      <c r="AC102" s="387"/>
      <c r="AD102" s="387"/>
      <c r="AE102" s="387"/>
      <c r="AF102" s="387"/>
      <c r="AG102" s="387"/>
      <c r="AH102" s="387"/>
      <c r="AI102" s="387"/>
      <c r="AJ102" s="387"/>
      <c r="AK102" s="387"/>
      <c r="AL102" s="388"/>
      <c r="AM102" s="32"/>
      <c r="AN102" s="32"/>
      <c r="AO102" s="32"/>
      <c r="AP102" s="32"/>
      <c r="AQ102" s="32"/>
      <c r="AR102" s="32"/>
      <c r="AS102" s="384"/>
      <c r="AT102" s="32"/>
      <c r="AU102" s="32"/>
      <c r="AV102" s="32"/>
      <c r="AW102" s="32"/>
      <c r="AX102" s="32"/>
      <c r="AY102" s="32"/>
      <c r="AZ102" s="384"/>
      <c r="BA102" s="32"/>
      <c r="BB102" s="32"/>
      <c r="BC102" s="32"/>
      <c r="BD102" s="32"/>
      <c r="BE102" s="32"/>
      <c r="BF102" s="32"/>
      <c r="BG102" s="32"/>
      <c r="BH102" s="384"/>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84"/>
      <c r="CE102" s="32"/>
      <c r="CF102" s="32"/>
      <c r="CG102" s="32"/>
      <c r="CH102" s="32"/>
      <c r="CI102" s="32"/>
      <c r="CJ102" s="32"/>
      <c r="CK102" s="32"/>
      <c r="CL102" s="32"/>
      <c r="CM102" s="32"/>
      <c r="CN102" s="32"/>
      <c r="CO102" s="32"/>
      <c r="CP102" s="32"/>
      <c r="CQ102" s="32"/>
      <c r="CR102" s="32"/>
      <c r="CS102" s="32"/>
      <c r="CT102" s="32"/>
      <c r="CU102" s="32"/>
      <c r="CV102" s="32"/>
      <c r="CW102" s="384"/>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row>
    <row r="103" spans="1:131" ht="102">
      <c r="A103" s="379"/>
      <c r="B103" s="380" t="s">
        <v>615</v>
      </c>
      <c r="C103" s="381" t="s">
        <v>616</v>
      </c>
      <c r="D103" s="381" t="s">
        <v>617</v>
      </c>
      <c r="E103" s="381" t="s">
        <v>618</v>
      </c>
      <c r="F103" s="381" t="s">
        <v>619</v>
      </c>
      <c r="G103" s="381" t="s">
        <v>620</v>
      </c>
      <c r="H103" s="381" t="s">
        <v>621</v>
      </c>
      <c r="I103" s="381" t="s">
        <v>622</v>
      </c>
      <c r="J103" s="381" t="s">
        <v>623</v>
      </c>
      <c r="K103" s="381" t="s">
        <v>372</v>
      </c>
      <c r="L103" s="381" t="s">
        <v>371</v>
      </c>
      <c r="M103" s="381" t="s">
        <v>624</v>
      </c>
      <c r="N103" s="381" t="s">
        <v>625</v>
      </c>
      <c r="O103" s="381" t="s">
        <v>626</v>
      </c>
      <c r="P103" s="381" t="s">
        <v>627</v>
      </c>
      <c r="Q103" s="381" t="s">
        <v>628</v>
      </c>
      <c r="R103" s="381" t="s">
        <v>629</v>
      </c>
      <c r="S103" s="381" t="s">
        <v>630</v>
      </c>
      <c r="T103" s="381" t="s">
        <v>631</v>
      </c>
      <c r="U103" s="381" t="s">
        <v>632</v>
      </c>
      <c r="V103" s="381" t="s">
        <v>633</v>
      </c>
      <c r="W103" s="381" t="s">
        <v>634</v>
      </c>
      <c r="X103" s="381" t="s">
        <v>635</v>
      </c>
      <c r="Y103" s="381" t="s">
        <v>636</v>
      </c>
      <c r="Z103" s="381"/>
      <c r="AA103" s="381" t="s">
        <v>625</v>
      </c>
      <c r="AB103" s="381" t="s">
        <v>626</v>
      </c>
      <c r="AC103" s="381" t="s">
        <v>627</v>
      </c>
      <c r="AD103" s="381" t="s">
        <v>628</v>
      </c>
      <c r="AE103" s="381" t="s">
        <v>629</v>
      </c>
      <c r="AF103" s="381" t="s">
        <v>630</v>
      </c>
      <c r="AG103" s="381" t="s">
        <v>631</v>
      </c>
      <c r="AH103" s="381" t="s">
        <v>632</v>
      </c>
      <c r="AI103" s="381" t="s">
        <v>633</v>
      </c>
      <c r="AJ103" s="381" t="s">
        <v>634</v>
      </c>
      <c r="AK103" s="381" t="s">
        <v>635</v>
      </c>
      <c r="AL103" s="381" t="s">
        <v>636</v>
      </c>
      <c r="AM103" s="32"/>
      <c r="AN103" s="32"/>
      <c r="AO103" s="32"/>
      <c r="AP103" s="32"/>
      <c r="AQ103" s="32"/>
      <c r="AR103" s="32"/>
      <c r="AS103" s="384"/>
      <c r="AT103" s="32"/>
      <c r="AU103" s="32"/>
      <c r="AV103" s="32"/>
      <c r="AW103" s="32"/>
      <c r="AX103" s="32"/>
      <c r="AY103" s="32"/>
      <c r="AZ103" s="384"/>
      <c r="BA103" s="32"/>
      <c r="BB103" s="32"/>
      <c r="BC103" s="32"/>
      <c r="BD103" s="32"/>
      <c r="BE103" s="32"/>
      <c r="BF103" s="32"/>
      <c r="BG103" s="32"/>
      <c r="BH103" s="384"/>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84"/>
      <c r="CE103" s="32"/>
      <c r="CF103" s="32"/>
      <c r="CG103" s="32"/>
      <c r="CH103" s="32"/>
      <c r="CI103" s="32"/>
      <c r="CJ103" s="32"/>
      <c r="CK103" s="32"/>
      <c r="CL103" s="32"/>
      <c r="CM103" s="32"/>
      <c r="CN103" s="32"/>
      <c r="CO103" s="32"/>
      <c r="CP103" s="32"/>
      <c r="CQ103" s="32"/>
      <c r="CR103" s="32"/>
      <c r="CS103" s="32"/>
      <c r="CT103" s="32"/>
      <c r="CU103" s="32"/>
      <c r="CV103" s="32"/>
      <c r="CW103" s="384"/>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row>
    <row r="104" spans="1:131">
      <c r="A104" s="11"/>
      <c r="B104" s="391" t="s">
        <v>637</v>
      </c>
      <c r="C104" s="392">
        <v>12435.418436741147</v>
      </c>
      <c r="D104" s="392">
        <v>2395.0477523572745</v>
      </c>
      <c r="E104" s="392">
        <v>0</v>
      </c>
      <c r="F104" s="392">
        <v>2395.0477523572745</v>
      </c>
      <c r="G104" s="392">
        <v>-1642.1814219164751</v>
      </c>
      <c r="H104" s="392">
        <v>8968.5506771231612</v>
      </c>
      <c r="I104" s="392">
        <v>1687.1662515723074</v>
      </c>
      <c r="J104" s="392">
        <v>-14.250724705392109</v>
      </c>
      <c r="K104" s="392">
        <v>-27.493434608370514</v>
      </c>
      <c r="L104" s="383">
        <v>317.41863044752813</v>
      </c>
      <c r="M104" s="32">
        <v>118.13702192052244</v>
      </c>
      <c r="N104" s="166">
        <v>516.75259805556902</v>
      </c>
      <c r="O104" s="166">
        <v>379.97997870104194</v>
      </c>
      <c r="P104" s="166">
        <v>351.77649166268031</v>
      </c>
      <c r="Q104" s="166">
        <v>201.16559423645924</v>
      </c>
      <c r="R104" s="166">
        <v>161.58415060604034</v>
      </c>
      <c r="S104" s="166">
        <v>125.40580083830474</v>
      </c>
      <c r="T104" s="166">
        <v>131.34606619684436</v>
      </c>
      <c r="U104" s="166">
        <v>190.72969637191841</v>
      </c>
      <c r="V104" s="166">
        <v>240.54237641704393</v>
      </c>
      <c r="W104" s="166">
        <v>392.04388516808586</v>
      </c>
      <c r="X104" s="166">
        <v>457.0661333679468</v>
      </c>
      <c r="Y104" s="166">
        <v>542.21784199926572</v>
      </c>
      <c r="Z104" s="166"/>
      <c r="AA104" s="166">
        <v>848.47806781625661</v>
      </c>
      <c r="AB104" s="166">
        <v>733.99727915585447</v>
      </c>
      <c r="AC104" s="166">
        <v>737.59325056948614</v>
      </c>
      <c r="AD104" s="166">
        <v>698.88901356126689</v>
      </c>
      <c r="AE104" s="166">
        <v>643.61019834723709</v>
      </c>
      <c r="AF104" s="166">
        <v>584.59988881015386</v>
      </c>
      <c r="AG104" s="166">
        <v>639.11712868771428</v>
      </c>
      <c r="AH104" s="166">
        <v>690.72647331688211</v>
      </c>
      <c r="AI104" s="166">
        <v>741.52701497941655</v>
      </c>
      <c r="AJ104" s="166">
        <v>767.55102807264768</v>
      </c>
      <c r="AK104" s="166">
        <v>809.20790299508508</v>
      </c>
      <c r="AL104" s="166">
        <v>849.51057680794099</v>
      </c>
      <c r="AM104" s="32"/>
      <c r="AN104" s="32"/>
      <c r="AO104" s="32"/>
      <c r="AP104" s="32"/>
      <c r="AQ104" s="32"/>
      <c r="AR104" s="32"/>
      <c r="AS104" s="384"/>
      <c r="AT104" s="32"/>
      <c r="AU104" s="32"/>
      <c r="AV104" s="32"/>
      <c r="AW104" s="32"/>
      <c r="AX104" s="32"/>
      <c r="AY104" s="32"/>
      <c r="AZ104" s="384"/>
      <c r="BA104" s="32"/>
      <c r="BB104" s="32"/>
      <c r="BC104" s="32"/>
      <c r="BD104" s="32"/>
      <c r="BE104" s="32"/>
      <c r="BF104" s="32"/>
      <c r="BG104" s="32"/>
      <c r="BH104" s="384"/>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84"/>
      <c r="CE104" s="32"/>
      <c r="CF104" s="32"/>
      <c r="CG104" s="32"/>
      <c r="CH104" s="32"/>
      <c r="CI104" s="32"/>
      <c r="CJ104" s="32"/>
      <c r="CK104" s="32"/>
      <c r="CL104" s="32"/>
      <c r="CM104" s="32"/>
      <c r="CN104" s="32"/>
      <c r="CO104" s="32"/>
      <c r="CP104" s="32"/>
      <c r="CQ104" s="32"/>
      <c r="CR104" s="32"/>
      <c r="CS104" s="32"/>
      <c r="CT104" s="32"/>
      <c r="CU104" s="32"/>
      <c r="CV104" s="32"/>
      <c r="CW104" s="384"/>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row>
    <row r="105" spans="1:131">
      <c r="A105" s="11"/>
      <c r="B105" s="391" t="s">
        <v>638</v>
      </c>
      <c r="C105" s="392">
        <v>12435.418436741144</v>
      </c>
      <c r="D105" s="392">
        <v>2395.047752357274</v>
      </c>
      <c r="E105" s="392">
        <v>479.00955047145487</v>
      </c>
      <c r="F105" s="392">
        <v>2874.057302828729</v>
      </c>
      <c r="G105" s="392">
        <v>-1163.1718714450205</v>
      </c>
      <c r="H105" s="392">
        <v>8968.5506771231594</v>
      </c>
      <c r="I105" s="392">
        <v>2024.5995018867693</v>
      </c>
      <c r="J105" s="392">
        <v>-13.187842463216755</v>
      </c>
      <c r="K105" s="392">
        <v>-24.659081962569566</v>
      </c>
      <c r="L105" s="383">
        <v>311.93725884349777</v>
      </c>
      <c r="M105" s="32">
        <v>118.1370219205224</v>
      </c>
      <c r="N105" s="166">
        <v>156.48142053795399</v>
      </c>
      <c r="O105" s="166">
        <v>115.0643597474986</v>
      </c>
      <c r="P105" s="166">
        <v>106.52386719362852</v>
      </c>
      <c r="Q105" s="166">
        <v>60.91634191667427</v>
      </c>
      <c r="R105" s="166">
        <v>48.930411803237575</v>
      </c>
      <c r="S105" s="166">
        <v>37.974996028500733</v>
      </c>
      <c r="T105" s="166">
        <v>39.773808777917651</v>
      </c>
      <c r="U105" s="166">
        <v>57.756175661918959</v>
      </c>
      <c r="V105" s="166">
        <v>72.840297084034418</v>
      </c>
      <c r="W105" s="166">
        <v>118.71751452273021</v>
      </c>
      <c r="X105" s="166">
        <v>138.40735024522334</v>
      </c>
      <c r="Y105" s="166">
        <v>164.19272680259456</v>
      </c>
      <c r="Z105" s="166"/>
      <c r="AA105" s="166">
        <v>256.93349940914817</v>
      </c>
      <c r="AB105" s="166">
        <v>222.26678171620935</v>
      </c>
      <c r="AC105" s="166">
        <v>223.35570263723878</v>
      </c>
      <c r="AD105" s="166">
        <v>211.63540551503152</v>
      </c>
      <c r="AE105" s="166">
        <v>194.89604597838871</v>
      </c>
      <c r="AF105" s="166">
        <v>177.0267268932156</v>
      </c>
      <c r="AG105" s="166">
        <v>193.53546854627967</v>
      </c>
      <c r="AH105" s="166">
        <v>209.16365037060515</v>
      </c>
      <c r="AI105" s="166">
        <v>224.54691298672472</v>
      </c>
      <c r="AJ105" s="166">
        <v>232.42742399382988</v>
      </c>
      <c r="AK105" s="166">
        <v>245.04182978020179</v>
      </c>
      <c r="AL105" s="166">
        <v>257.24616058268629</v>
      </c>
      <c r="AM105" s="32"/>
      <c r="AN105" s="32"/>
      <c r="AO105" s="32"/>
      <c r="AP105" s="32"/>
      <c r="AQ105" s="32"/>
      <c r="AR105" s="32"/>
      <c r="AS105" s="384"/>
      <c r="AT105" s="32"/>
      <c r="AU105" s="32"/>
      <c r="AV105" s="32"/>
      <c r="AW105" s="32"/>
      <c r="AX105" s="32"/>
      <c r="AY105" s="32"/>
      <c r="AZ105" s="384"/>
      <c r="BA105" s="32"/>
      <c r="BB105" s="32"/>
      <c r="BC105" s="32"/>
      <c r="BD105" s="32"/>
      <c r="BE105" s="32"/>
      <c r="BF105" s="32"/>
      <c r="BG105" s="32"/>
      <c r="BH105" s="384"/>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84"/>
      <c r="CE105" s="32"/>
      <c r="CF105" s="32"/>
      <c r="CG105" s="32"/>
      <c r="CH105" s="32"/>
      <c r="CI105" s="32"/>
      <c r="CJ105" s="32"/>
      <c r="CK105" s="32"/>
      <c r="CL105" s="32"/>
      <c r="CM105" s="32"/>
      <c r="CN105" s="32"/>
      <c r="CO105" s="32"/>
      <c r="CP105" s="32"/>
      <c r="CQ105" s="32"/>
      <c r="CR105" s="32"/>
      <c r="CS105" s="32"/>
      <c r="CT105" s="32"/>
      <c r="CU105" s="32"/>
      <c r="CV105" s="32"/>
      <c r="CW105" s="384"/>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row>
    <row r="106" spans="1:131">
      <c r="A106" s="11"/>
      <c r="B106" s="391" t="s">
        <v>639</v>
      </c>
      <c r="C106" s="393"/>
      <c r="D106" s="393"/>
      <c r="E106" s="393"/>
      <c r="F106" s="393"/>
      <c r="G106" s="393"/>
      <c r="H106" s="393"/>
      <c r="I106" s="393"/>
      <c r="J106" s="393"/>
      <c r="K106" s="393"/>
      <c r="L106" s="384"/>
      <c r="M106" s="394"/>
      <c r="N106" s="394"/>
      <c r="O106" s="394"/>
      <c r="P106" s="394"/>
      <c r="Q106" s="394"/>
      <c r="R106" s="394"/>
      <c r="S106" s="394"/>
      <c r="T106" s="394"/>
      <c r="U106" s="394"/>
      <c r="V106" s="394"/>
      <c r="W106" s="394"/>
      <c r="X106" s="394"/>
      <c r="Y106" s="394"/>
      <c r="Z106" s="394"/>
      <c r="AA106" s="394"/>
      <c r="AB106" s="394"/>
      <c r="AC106" s="394"/>
      <c r="AD106" s="394"/>
      <c r="AE106" s="394"/>
      <c r="AF106" s="394"/>
      <c r="AG106" s="394"/>
      <c r="AH106" s="394"/>
      <c r="AI106" s="394"/>
      <c r="AJ106" s="394"/>
      <c r="AK106" s="394"/>
      <c r="AL106" s="394"/>
      <c r="AM106" s="32"/>
      <c r="AN106" s="32"/>
      <c r="AO106" s="32"/>
      <c r="AP106" s="32"/>
      <c r="AQ106" s="32"/>
      <c r="AR106" s="32"/>
      <c r="AS106" s="384"/>
      <c r="AT106" s="32"/>
      <c r="AU106" s="32"/>
      <c r="AV106" s="32"/>
      <c r="AW106" s="32"/>
      <c r="AX106" s="32"/>
      <c r="AY106" s="32"/>
      <c r="AZ106" s="384"/>
      <c r="BA106" s="32"/>
      <c r="BB106" s="32"/>
      <c r="BC106" s="32"/>
      <c r="BD106" s="32"/>
      <c r="BE106" s="32"/>
      <c r="BF106" s="32"/>
      <c r="BG106" s="32"/>
      <c r="BH106" s="384"/>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84"/>
      <c r="CE106" s="32"/>
      <c r="CF106" s="32"/>
      <c r="CG106" s="32"/>
      <c r="CH106" s="32"/>
      <c r="CI106" s="32"/>
      <c r="CJ106" s="32"/>
      <c r="CK106" s="32"/>
      <c r="CL106" s="32"/>
      <c r="CM106" s="32"/>
      <c r="CN106" s="32"/>
      <c r="CO106" s="32"/>
      <c r="CP106" s="32"/>
      <c r="CQ106" s="32"/>
      <c r="CR106" s="32"/>
      <c r="CS106" s="32"/>
      <c r="CT106" s="32"/>
      <c r="CU106" s="32"/>
      <c r="CV106" s="32"/>
      <c r="CW106" s="384"/>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row>
    <row r="107" spans="1:131">
      <c r="A107" s="11"/>
      <c r="B107" s="11" t="s">
        <v>640</v>
      </c>
      <c r="C107" s="32">
        <v>9131.9563402829135</v>
      </c>
      <c r="D107" s="32">
        <v>1422.9782890795336</v>
      </c>
      <c r="E107" s="32">
        <v>284.59565781590675</v>
      </c>
      <c r="F107" s="32">
        <v>1707.5739468954403</v>
      </c>
      <c r="G107" s="32">
        <v>-2099.4352436914796</v>
      </c>
      <c r="H107" s="32">
        <v>6586.0601020970944</v>
      </c>
      <c r="I107" s="32">
        <v>1638.0222613220069</v>
      </c>
      <c r="J107" s="32">
        <v>-14.063994524538526</v>
      </c>
      <c r="K107" s="32">
        <v>-34.692897132209502</v>
      </c>
      <c r="L107" s="383">
        <v>424.04622109863402</v>
      </c>
      <c r="M107" s="32">
        <v>86.753986754624577</v>
      </c>
      <c r="N107" s="166">
        <v>379.47755342343629</v>
      </c>
      <c r="O107" s="166">
        <v>279.03850548585905</v>
      </c>
      <c r="P107" s="166">
        <v>258.32725933131877</v>
      </c>
      <c r="Q107" s="166">
        <v>147.72606431214163</v>
      </c>
      <c r="R107" s="166">
        <v>118.65940950216657</v>
      </c>
      <c r="S107" s="166">
        <v>92.091818534232402</v>
      </c>
      <c r="T107" s="166">
        <v>96.454055653942433</v>
      </c>
      <c r="U107" s="166">
        <v>140.06245699925313</v>
      </c>
      <c r="V107" s="166">
        <v>176.64242587433154</v>
      </c>
      <c r="W107" s="166">
        <v>287.89764180770624</v>
      </c>
      <c r="X107" s="166">
        <v>335.64676538796414</v>
      </c>
      <c r="Y107" s="166">
        <v>398.17796926158923</v>
      </c>
      <c r="Z107" s="166"/>
      <c r="AA107" s="166">
        <v>623.08033383846396</v>
      </c>
      <c r="AB107" s="166">
        <v>539.01130398103999</v>
      </c>
      <c r="AC107" s="166">
        <v>541.65200755826515</v>
      </c>
      <c r="AD107" s="166">
        <v>513.22952991177544</v>
      </c>
      <c r="AE107" s="166">
        <v>472.63550168144144</v>
      </c>
      <c r="AF107" s="166">
        <v>429.30124855111848</v>
      </c>
      <c r="AG107" s="166">
        <v>469.33601351597804</v>
      </c>
      <c r="AH107" s="166">
        <v>507.23536401243661</v>
      </c>
      <c r="AI107" s="166">
        <v>544.54076960734142</v>
      </c>
      <c r="AJ107" s="166">
        <v>563.65151787650996</v>
      </c>
      <c r="AK107" s="166">
        <v>594.24226679255662</v>
      </c>
      <c r="AL107" s="166">
        <v>623.83855738204409</v>
      </c>
      <c r="AM107" s="32"/>
      <c r="AN107" s="32"/>
      <c r="AO107" s="32"/>
      <c r="AP107" s="32"/>
      <c r="AQ107" s="32"/>
      <c r="AR107" s="32"/>
      <c r="AS107" s="384"/>
      <c r="AT107" s="32"/>
      <c r="AU107" s="32"/>
      <c r="AV107" s="32"/>
      <c r="AW107" s="32"/>
      <c r="AX107" s="32"/>
      <c r="AY107" s="32"/>
      <c r="AZ107" s="384"/>
      <c r="BA107" s="32"/>
      <c r="BB107" s="32"/>
      <c r="BC107" s="32"/>
      <c r="BD107" s="32"/>
      <c r="BE107" s="32"/>
      <c r="BF107" s="32"/>
      <c r="BG107" s="32"/>
      <c r="BH107" s="384"/>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84"/>
      <c r="CE107" s="32"/>
      <c r="CF107" s="32"/>
      <c r="CG107" s="32"/>
      <c r="CH107" s="32"/>
      <c r="CI107" s="32"/>
      <c r="CJ107" s="32"/>
      <c r="CK107" s="32"/>
      <c r="CL107" s="32"/>
      <c r="CM107" s="32"/>
      <c r="CN107" s="32"/>
      <c r="CO107" s="32"/>
      <c r="CP107" s="32"/>
      <c r="CQ107" s="32"/>
      <c r="CR107" s="32"/>
      <c r="CS107" s="32"/>
      <c r="CT107" s="32"/>
      <c r="CU107" s="32"/>
      <c r="CV107" s="32"/>
      <c r="CW107" s="384"/>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row>
    <row r="108" spans="1:131">
      <c r="A108" s="11"/>
      <c r="B108" s="11" t="s">
        <v>641</v>
      </c>
      <c r="C108" s="32">
        <v>3303.4620964582305</v>
      </c>
      <c r="D108" s="32">
        <v>972.0694632777404</v>
      </c>
      <c r="E108" s="32">
        <v>194.4138926555481</v>
      </c>
      <c r="F108" s="32">
        <v>1166.4833559332885</v>
      </c>
      <c r="G108" s="32">
        <v>936.26337224645908</v>
      </c>
      <c r="H108" s="32">
        <v>2382.490575026065</v>
      </c>
      <c r="I108" s="32">
        <v>3093.2379121077684</v>
      </c>
      <c r="J108" s="32">
        <v>-10.765843318738163</v>
      </c>
      <c r="K108" s="32">
        <v>3.0779888377458473</v>
      </c>
      <c r="L108" s="383">
        <v>2.0278005918171509</v>
      </c>
      <c r="M108" s="32">
        <v>31.383035165897827</v>
      </c>
      <c r="N108" s="166">
        <v>137.27504463213276</v>
      </c>
      <c r="O108" s="166">
        <v>100.94147321518288</v>
      </c>
      <c r="P108" s="166">
        <v>93.449232331361458</v>
      </c>
      <c r="Q108" s="166">
        <v>53.439529924317611</v>
      </c>
      <c r="R108" s="166">
        <v>42.924741103873792</v>
      </c>
      <c r="S108" s="166">
        <v>33.313982304072347</v>
      </c>
      <c r="T108" s="166">
        <v>34.892010542901922</v>
      </c>
      <c r="U108" s="166">
        <v>50.667239372665343</v>
      </c>
      <c r="V108" s="166">
        <v>63.899950542712368</v>
      </c>
      <c r="W108" s="166">
        <v>104.1462433603796</v>
      </c>
      <c r="X108" s="166">
        <v>121.41936797998275</v>
      </c>
      <c r="Y108" s="166">
        <v>144.03987273767663</v>
      </c>
      <c r="Z108" s="166"/>
      <c r="AA108" s="166">
        <v>225.39773397779277</v>
      </c>
      <c r="AB108" s="166">
        <v>194.98597517481414</v>
      </c>
      <c r="AC108" s="166">
        <v>195.9412430112211</v>
      </c>
      <c r="AD108" s="166">
        <v>185.65948364949148</v>
      </c>
      <c r="AE108" s="166">
        <v>170.97469666579579</v>
      </c>
      <c r="AF108" s="166">
        <v>155.29864025903538</v>
      </c>
      <c r="AG108" s="166">
        <v>169.7811151717363</v>
      </c>
      <c r="AH108" s="166">
        <v>183.49110930444562</v>
      </c>
      <c r="AI108" s="166">
        <v>196.98624537207505</v>
      </c>
      <c r="AJ108" s="166">
        <v>203.89951019613758</v>
      </c>
      <c r="AK108" s="166">
        <v>214.96563620252846</v>
      </c>
      <c r="AL108" s="166">
        <v>225.67201942589662</v>
      </c>
      <c r="AM108" s="32"/>
      <c r="AN108" s="32"/>
      <c r="AO108" s="32"/>
      <c r="AP108" s="32"/>
      <c r="AQ108" s="32"/>
      <c r="AR108" s="32"/>
      <c r="AS108" s="384"/>
      <c r="AT108" s="32"/>
      <c r="AU108" s="32"/>
      <c r="AV108" s="32"/>
      <c r="AW108" s="32"/>
      <c r="AX108" s="32"/>
      <c r="AY108" s="32"/>
      <c r="AZ108" s="384"/>
      <c r="BA108" s="32"/>
      <c r="BB108" s="32"/>
      <c r="BC108" s="32"/>
      <c r="BD108" s="32"/>
      <c r="BE108" s="32"/>
      <c r="BF108" s="32"/>
      <c r="BG108" s="32"/>
      <c r="BH108" s="384"/>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84"/>
      <c r="CE108" s="32"/>
      <c r="CF108" s="32"/>
      <c r="CG108" s="32"/>
      <c r="CH108" s="32"/>
      <c r="CI108" s="32"/>
      <c r="CJ108" s="32"/>
      <c r="CK108" s="32"/>
      <c r="CL108" s="32"/>
      <c r="CM108" s="32"/>
      <c r="CN108" s="32"/>
      <c r="CO108" s="32"/>
      <c r="CP108" s="32"/>
      <c r="CQ108" s="32"/>
      <c r="CR108" s="32"/>
      <c r="CS108" s="32"/>
      <c r="CT108" s="32"/>
      <c r="CU108" s="32"/>
      <c r="CV108" s="32"/>
      <c r="CW108" s="384"/>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row>
    <row r="109" spans="1:131">
      <c r="A109" s="11"/>
      <c r="B109" s="11" t="s">
        <v>642</v>
      </c>
      <c r="C109" s="394">
        <v>0</v>
      </c>
      <c r="D109" s="394">
        <v>0</v>
      </c>
      <c r="E109" s="394">
        <v>0</v>
      </c>
      <c r="F109" s="394">
        <v>0</v>
      </c>
      <c r="G109" s="394">
        <v>0</v>
      </c>
      <c r="H109" s="394">
        <v>0</v>
      </c>
      <c r="I109" s="394">
        <v>0</v>
      </c>
      <c r="J109" s="394">
        <v>0</v>
      </c>
      <c r="K109" s="394">
        <v>0</v>
      </c>
      <c r="L109" s="395">
        <v>0</v>
      </c>
      <c r="M109" s="394">
        <v>0</v>
      </c>
      <c r="N109" s="394">
        <v>0</v>
      </c>
      <c r="O109" s="394">
        <v>0</v>
      </c>
      <c r="P109" s="394">
        <v>0</v>
      </c>
      <c r="Q109" s="394">
        <v>0</v>
      </c>
      <c r="R109" s="394">
        <v>0</v>
      </c>
      <c r="S109" s="394">
        <v>0</v>
      </c>
      <c r="T109" s="394">
        <v>0</v>
      </c>
      <c r="U109" s="394">
        <v>0</v>
      </c>
      <c r="V109" s="394">
        <v>0</v>
      </c>
      <c r="W109" s="394">
        <v>0</v>
      </c>
      <c r="X109" s="394">
        <v>0</v>
      </c>
      <c r="Y109" s="394">
        <v>0</v>
      </c>
      <c r="Z109" s="394"/>
      <c r="AA109" s="394">
        <v>0</v>
      </c>
      <c r="AB109" s="394">
        <v>0</v>
      </c>
      <c r="AC109" s="394">
        <v>0</v>
      </c>
      <c r="AD109" s="394">
        <v>0</v>
      </c>
      <c r="AE109" s="394">
        <v>0</v>
      </c>
      <c r="AF109" s="394">
        <v>0</v>
      </c>
      <c r="AG109" s="394">
        <v>0</v>
      </c>
      <c r="AH109" s="394">
        <v>0</v>
      </c>
      <c r="AI109" s="394">
        <v>0</v>
      </c>
      <c r="AJ109" s="394">
        <v>0</v>
      </c>
      <c r="AK109" s="394">
        <v>0</v>
      </c>
      <c r="AL109" s="394">
        <v>0</v>
      </c>
      <c r="AM109" s="32"/>
      <c r="AN109" s="32"/>
      <c r="AO109" s="32"/>
      <c r="AP109" s="32"/>
      <c r="AQ109" s="32"/>
      <c r="AR109" s="32"/>
      <c r="AS109" s="384"/>
      <c r="AT109" s="32"/>
      <c r="AU109" s="32"/>
      <c r="AV109" s="32"/>
      <c r="AW109" s="32"/>
      <c r="AX109" s="32"/>
      <c r="AY109" s="32"/>
      <c r="AZ109" s="384"/>
      <c r="BA109" s="32"/>
      <c r="BB109" s="32"/>
      <c r="BC109" s="32"/>
      <c r="BD109" s="32"/>
      <c r="BE109" s="32"/>
      <c r="BF109" s="32"/>
      <c r="BG109" s="32"/>
      <c r="BH109" s="384"/>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84"/>
      <c r="CE109" s="32"/>
      <c r="CF109" s="32"/>
      <c r="CG109" s="32"/>
      <c r="CH109" s="32"/>
      <c r="CI109" s="32"/>
      <c r="CJ109" s="32"/>
      <c r="CK109" s="32"/>
      <c r="CL109" s="32"/>
      <c r="CM109" s="32"/>
      <c r="CN109" s="32"/>
      <c r="CO109" s="32"/>
      <c r="CP109" s="32"/>
      <c r="CQ109" s="32"/>
      <c r="CR109" s="32"/>
      <c r="CS109" s="32"/>
      <c r="CT109" s="32"/>
      <c r="CU109" s="32"/>
      <c r="CV109" s="32"/>
      <c r="CW109" s="384"/>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row>
    <row r="110" spans="1:131">
      <c r="A110" s="11"/>
      <c r="B110" s="11" t="s">
        <v>643</v>
      </c>
      <c r="C110" s="394">
        <v>0</v>
      </c>
      <c r="D110" s="394">
        <v>0</v>
      </c>
      <c r="E110" s="394">
        <v>0</v>
      </c>
      <c r="F110" s="394">
        <v>0</v>
      </c>
      <c r="G110" s="394">
        <v>0</v>
      </c>
      <c r="H110" s="394">
        <v>0</v>
      </c>
      <c r="I110" s="394">
        <v>0</v>
      </c>
      <c r="J110" s="394">
        <v>0</v>
      </c>
      <c r="K110" s="394">
        <v>0</v>
      </c>
      <c r="L110" s="395">
        <v>0</v>
      </c>
      <c r="M110" s="394">
        <v>0</v>
      </c>
      <c r="N110" s="394">
        <v>0</v>
      </c>
      <c r="O110" s="394">
        <v>0</v>
      </c>
      <c r="P110" s="394">
        <v>0</v>
      </c>
      <c r="Q110" s="394">
        <v>0</v>
      </c>
      <c r="R110" s="394">
        <v>0</v>
      </c>
      <c r="S110" s="394">
        <v>0</v>
      </c>
      <c r="T110" s="394">
        <v>0</v>
      </c>
      <c r="U110" s="394">
        <v>0</v>
      </c>
      <c r="V110" s="394">
        <v>0</v>
      </c>
      <c r="W110" s="394">
        <v>0</v>
      </c>
      <c r="X110" s="394">
        <v>0</v>
      </c>
      <c r="Y110" s="394">
        <v>0</v>
      </c>
      <c r="Z110" s="394"/>
      <c r="AA110" s="394">
        <v>0</v>
      </c>
      <c r="AB110" s="394">
        <v>0</v>
      </c>
      <c r="AC110" s="394">
        <v>0</v>
      </c>
      <c r="AD110" s="394">
        <v>0</v>
      </c>
      <c r="AE110" s="394">
        <v>0</v>
      </c>
      <c r="AF110" s="394">
        <v>0</v>
      </c>
      <c r="AG110" s="394">
        <v>0</v>
      </c>
      <c r="AH110" s="394">
        <v>0</v>
      </c>
      <c r="AI110" s="394">
        <v>0</v>
      </c>
      <c r="AJ110" s="394">
        <v>0</v>
      </c>
      <c r="AK110" s="394">
        <v>0</v>
      </c>
      <c r="AL110" s="394">
        <v>0</v>
      </c>
      <c r="AM110" s="32"/>
      <c r="AN110" s="32"/>
      <c r="AO110" s="32"/>
      <c r="AP110" s="32"/>
      <c r="AQ110" s="32"/>
      <c r="AR110" s="32"/>
      <c r="AS110" s="384"/>
      <c r="AT110" s="32"/>
      <c r="AU110" s="32"/>
      <c r="AV110" s="32"/>
      <c r="AW110" s="32"/>
      <c r="AX110" s="32"/>
      <c r="AY110" s="32"/>
      <c r="AZ110" s="384"/>
      <c r="BA110" s="32"/>
      <c r="BB110" s="32"/>
      <c r="BC110" s="32"/>
      <c r="BD110" s="32"/>
      <c r="BE110" s="32"/>
      <c r="BF110" s="32"/>
      <c r="BG110" s="32"/>
      <c r="BH110" s="384"/>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84"/>
      <c r="CE110" s="32"/>
      <c r="CF110" s="32"/>
      <c r="CG110" s="32"/>
      <c r="CH110" s="32"/>
      <c r="CI110" s="32"/>
      <c r="CJ110" s="32"/>
      <c r="CK110" s="32"/>
      <c r="CL110" s="32"/>
      <c r="CM110" s="32"/>
      <c r="CN110" s="32"/>
      <c r="CO110" s="32"/>
      <c r="CP110" s="32"/>
      <c r="CQ110" s="32"/>
      <c r="CR110" s="32"/>
      <c r="CS110" s="32"/>
      <c r="CT110" s="32"/>
      <c r="CU110" s="32"/>
      <c r="CV110" s="32"/>
      <c r="CW110" s="384"/>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row>
    <row r="111" spans="1:131">
      <c r="A111" s="11"/>
      <c r="B111" s="11" t="s">
        <v>644</v>
      </c>
      <c r="C111" s="394">
        <v>0</v>
      </c>
      <c r="D111" s="394">
        <v>0</v>
      </c>
      <c r="E111" s="394">
        <v>0</v>
      </c>
      <c r="F111" s="394">
        <v>0</v>
      </c>
      <c r="G111" s="394">
        <v>0</v>
      </c>
      <c r="H111" s="394">
        <v>0</v>
      </c>
      <c r="I111" s="394">
        <v>0</v>
      </c>
      <c r="J111" s="394">
        <v>0</v>
      </c>
      <c r="K111" s="394">
        <v>0</v>
      </c>
      <c r="L111" s="395">
        <v>0</v>
      </c>
      <c r="M111" s="394">
        <v>0</v>
      </c>
      <c r="N111" s="394">
        <v>0</v>
      </c>
      <c r="O111" s="394">
        <v>0</v>
      </c>
      <c r="P111" s="394">
        <v>0</v>
      </c>
      <c r="Q111" s="394">
        <v>0</v>
      </c>
      <c r="R111" s="394">
        <v>0</v>
      </c>
      <c r="S111" s="394">
        <v>0</v>
      </c>
      <c r="T111" s="394">
        <v>0</v>
      </c>
      <c r="U111" s="394">
        <v>0</v>
      </c>
      <c r="V111" s="394">
        <v>0</v>
      </c>
      <c r="W111" s="394">
        <v>0</v>
      </c>
      <c r="X111" s="394">
        <v>0</v>
      </c>
      <c r="Y111" s="394">
        <v>0</v>
      </c>
      <c r="Z111" s="394"/>
      <c r="AA111" s="394">
        <v>0</v>
      </c>
      <c r="AB111" s="394">
        <v>0</v>
      </c>
      <c r="AC111" s="394">
        <v>0</v>
      </c>
      <c r="AD111" s="394">
        <v>0</v>
      </c>
      <c r="AE111" s="394">
        <v>0</v>
      </c>
      <c r="AF111" s="394">
        <v>0</v>
      </c>
      <c r="AG111" s="394">
        <v>0</v>
      </c>
      <c r="AH111" s="394">
        <v>0</v>
      </c>
      <c r="AI111" s="394">
        <v>0</v>
      </c>
      <c r="AJ111" s="394">
        <v>0</v>
      </c>
      <c r="AK111" s="394">
        <v>0</v>
      </c>
      <c r="AL111" s="394">
        <v>0</v>
      </c>
      <c r="AM111" s="32"/>
      <c r="AN111" s="32"/>
      <c r="AO111" s="32"/>
      <c r="AP111" s="32"/>
      <c r="AQ111" s="32"/>
      <c r="AR111" s="32"/>
      <c r="AS111" s="384"/>
      <c r="AT111" s="32"/>
      <c r="AU111" s="32"/>
      <c r="AV111" s="32"/>
      <c r="AW111" s="32"/>
      <c r="AX111" s="32"/>
      <c r="AY111" s="32"/>
      <c r="AZ111" s="384"/>
      <c r="BA111" s="32"/>
      <c r="BB111" s="32"/>
      <c r="BC111" s="32"/>
      <c r="BD111" s="32"/>
      <c r="BE111" s="32"/>
      <c r="BF111" s="32"/>
      <c r="BG111" s="32"/>
      <c r="BH111" s="384"/>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84"/>
      <c r="CE111" s="32"/>
      <c r="CF111" s="32"/>
      <c r="CG111" s="32"/>
      <c r="CH111" s="32"/>
      <c r="CI111" s="32"/>
      <c r="CJ111" s="32"/>
      <c r="CK111" s="32"/>
      <c r="CL111" s="32"/>
      <c r="CM111" s="32"/>
      <c r="CN111" s="32"/>
      <c r="CO111" s="32"/>
      <c r="CP111" s="32"/>
      <c r="CQ111" s="32"/>
      <c r="CR111" s="32"/>
      <c r="CS111" s="32"/>
      <c r="CT111" s="32"/>
      <c r="CU111" s="32"/>
      <c r="CV111" s="32"/>
      <c r="CW111" s="384"/>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row>
    <row r="112" spans="1:131">
      <c r="A112" s="11"/>
      <c r="B112" s="11" t="s">
        <v>645</v>
      </c>
      <c r="C112" s="394">
        <v>0</v>
      </c>
      <c r="D112" s="394">
        <v>0</v>
      </c>
      <c r="E112" s="394">
        <v>0</v>
      </c>
      <c r="F112" s="394">
        <v>0</v>
      </c>
      <c r="G112" s="394">
        <v>0</v>
      </c>
      <c r="H112" s="394">
        <v>0</v>
      </c>
      <c r="I112" s="394">
        <v>0</v>
      </c>
      <c r="J112" s="394">
        <v>0</v>
      </c>
      <c r="K112" s="394">
        <v>0</v>
      </c>
      <c r="L112" s="395">
        <v>0</v>
      </c>
      <c r="M112" s="394">
        <v>0</v>
      </c>
      <c r="N112" s="394">
        <v>0</v>
      </c>
      <c r="O112" s="394">
        <v>0</v>
      </c>
      <c r="P112" s="394">
        <v>0</v>
      </c>
      <c r="Q112" s="394">
        <v>0</v>
      </c>
      <c r="R112" s="394">
        <v>0</v>
      </c>
      <c r="S112" s="394">
        <v>0</v>
      </c>
      <c r="T112" s="394">
        <v>0</v>
      </c>
      <c r="U112" s="394">
        <v>0</v>
      </c>
      <c r="V112" s="394">
        <v>0</v>
      </c>
      <c r="W112" s="394">
        <v>0</v>
      </c>
      <c r="X112" s="394">
        <v>0</v>
      </c>
      <c r="Y112" s="394">
        <v>0</v>
      </c>
      <c r="Z112" s="394"/>
      <c r="AA112" s="394">
        <v>0</v>
      </c>
      <c r="AB112" s="394">
        <v>0</v>
      </c>
      <c r="AC112" s="394">
        <v>0</v>
      </c>
      <c r="AD112" s="394">
        <v>0</v>
      </c>
      <c r="AE112" s="394">
        <v>0</v>
      </c>
      <c r="AF112" s="394">
        <v>0</v>
      </c>
      <c r="AG112" s="394">
        <v>0</v>
      </c>
      <c r="AH112" s="394">
        <v>0</v>
      </c>
      <c r="AI112" s="394">
        <v>0</v>
      </c>
      <c r="AJ112" s="394">
        <v>0</v>
      </c>
      <c r="AK112" s="394">
        <v>0</v>
      </c>
      <c r="AL112" s="394">
        <v>0</v>
      </c>
      <c r="AM112" s="32"/>
      <c r="AN112" s="32"/>
      <c r="AO112" s="32"/>
      <c r="AP112" s="32"/>
      <c r="AQ112" s="32"/>
      <c r="AR112" s="32"/>
      <c r="AS112" s="384"/>
      <c r="AT112" s="32"/>
      <c r="AU112" s="32"/>
      <c r="AV112" s="32"/>
      <c r="AW112" s="32"/>
      <c r="AX112" s="32"/>
      <c r="AY112" s="32"/>
      <c r="AZ112" s="384"/>
      <c r="BA112" s="32"/>
      <c r="BB112" s="32"/>
      <c r="BC112" s="32"/>
      <c r="BD112" s="32"/>
      <c r="BE112" s="32"/>
      <c r="BF112" s="32"/>
      <c r="BG112" s="32"/>
      <c r="BH112" s="384"/>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84"/>
      <c r="CE112" s="32"/>
      <c r="CF112" s="32"/>
      <c r="CG112" s="32"/>
      <c r="CH112" s="32"/>
      <c r="CI112" s="32"/>
      <c r="CJ112" s="32"/>
      <c r="CK112" s="32"/>
      <c r="CL112" s="32"/>
      <c r="CM112" s="32"/>
      <c r="CN112" s="32"/>
      <c r="CO112" s="32"/>
      <c r="CP112" s="32"/>
      <c r="CQ112" s="32"/>
      <c r="CR112" s="32"/>
      <c r="CS112" s="32"/>
      <c r="CT112" s="32"/>
      <c r="CU112" s="32"/>
      <c r="CV112" s="32"/>
      <c r="CW112" s="384"/>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row>
    <row r="113" spans="1:131">
      <c r="A113" s="11"/>
      <c r="B113" s="11" t="s">
        <v>646</v>
      </c>
      <c r="C113" s="394">
        <v>0</v>
      </c>
      <c r="D113" s="394">
        <v>0</v>
      </c>
      <c r="E113" s="394">
        <v>0</v>
      </c>
      <c r="F113" s="394">
        <v>0</v>
      </c>
      <c r="G113" s="394">
        <v>0</v>
      </c>
      <c r="H113" s="394">
        <v>0</v>
      </c>
      <c r="I113" s="394">
        <v>0</v>
      </c>
      <c r="J113" s="394">
        <v>0</v>
      </c>
      <c r="K113" s="394">
        <v>0</v>
      </c>
      <c r="L113" s="395">
        <v>0</v>
      </c>
      <c r="M113" s="394">
        <v>0</v>
      </c>
      <c r="N113" s="394">
        <v>0</v>
      </c>
      <c r="O113" s="394">
        <v>0</v>
      </c>
      <c r="P113" s="394">
        <v>0</v>
      </c>
      <c r="Q113" s="394">
        <v>0</v>
      </c>
      <c r="R113" s="394">
        <v>0</v>
      </c>
      <c r="S113" s="394">
        <v>0</v>
      </c>
      <c r="T113" s="394">
        <v>0</v>
      </c>
      <c r="U113" s="394">
        <v>0</v>
      </c>
      <c r="V113" s="394">
        <v>0</v>
      </c>
      <c r="W113" s="394">
        <v>0</v>
      </c>
      <c r="X113" s="394">
        <v>0</v>
      </c>
      <c r="Y113" s="394">
        <v>0</v>
      </c>
      <c r="Z113" s="394"/>
      <c r="AA113" s="394">
        <v>0</v>
      </c>
      <c r="AB113" s="394">
        <v>0</v>
      </c>
      <c r="AC113" s="394">
        <v>0</v>
      </c>
      <c r="AD113" s="394">
        <v>0</v>
      </c>
      <c r="AE113" s="394">
        <v>0</v>
      </c>
      <c r="AF113" s="394">
        <v>0</v>
      </c>
      <c r="AG113" s="394">
        <v>0</v>
      </c>
      <c r="AH113" s="394">
        <v>0</v>
      </c>
      <c r="AI113" s="394">
        <v>0</v>
      </c>
      <c r="AJ113" s="394">
        <v>0</v>
      </c>
      <c r="AK113" s="394">
        <v>0</v>
      </c>
      <c r="AL113" s="394">
        <v>0</v>
      </c>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row>
    <row r="114" spans="1:131">
      <c r="A114" s="11"/>
      <c r="B114" s="11" t="s">
        <v>647</v>
      </c>
      <c r="C114" s="394">
        <v>0</v>
      </c>
      <c r="D114" s="394">
        <v>0</v>
      </c>
      <c r="E114" s="394">
        <v>0</v>
      </c>
      <c r="F114" s="394">
        <v>0</v>
      </c>
      <c r="G114" s="394">
        <v>0</v>
      </c>
      <c r="H114" s="394">
        <v>0</v>
      </c>
      <c r="I114" s="394">
        <v>0</v>
      </c>
      <c r="J114" s="394">
        <v>0</v>
      </c>
      <c r="K114" s="394">
        <v>0</v>
      </c>
      <c r="L114" s="395">
        <v>0</v>
      </c>
      <c r="M114" s="394">
        <v>0</v>
      </c>
      <c r="N114" s="394">
        <v>0</v>
      </c>
      <c r="O114" s="394">
        <v>0</v>
      </c>
      <c r="P114" s="394">
        <v>0</v>
      </c>
      <c r="Q114" s="394">
        <v>0</v>
      </c>
      <c r="R114" s="394">
        <v>0</v>
      </c>
      <c r="S114" s="394">
        <v>0</v>
      </c>
      <c r="T114" s="394">
        <v>0</v>
      </c>
      <c r="U114" s="394">
        <v>0</v>
      </c>
      <c r="V114" s="394">
        <v>0</v>
      </c>
      <c r="W114" s="394">
        <v>0</v>
      </c>
      <c r="X114" s="394">
        <v>0</v>
      </c>
      <c r="Y114" s="394">
        <v>0</v>
      </c>
      <c r="Z114" s="394"/>
      <c r="AA114" s="394">
        <v>0</v>
      </c>
      <c r="AB114" s="394">
        <v>0</v>
      </c>
      <c r="AC114" s="394">
        <v>0</v>
      </c>
      <c r="AD114" s="394">
        <v>0</v>
      </c>
      <c r="AE114" s="394">
        <v>0</v>
      </c>
      <c r="AF114" s="394">
        <v>0</v>
      </c>
      <c r="AG114" s="394">
        <v>0</v>
      </c>
      <c r="AH114" s="394">
        <v>0</v>
      </c>
      <c r="AI114" s="394">
        <v>0</v>
      </c>
      <c r="AJ114" s="394">
        <v>0</v>
      </c>
      <c r="AK114" s="394">
        <v>0</v>
      </c>
      <c r="AL114" s="394">
        <v>0</v>
      </c>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row>
    <row r="115" spans="1:131">
      <c r="A115" s="11"/>
      <c r="B115" s="11" t="s">
        <v>648</v>
      </c>
      <c r="C115" s="394">
        <v>0</v>
      </c>
      <c r="D115" s="394">
        <v>0</v>
      </c>
      <c r="E115" s="394">
        <v>0</v>
      </c>
      <c r="F115" s="394">
        <v>0</v>
      </c>
      <c r="G115" s="394">
        <v>0</v>
      </c>
      <c r="H115" s="394">
        <v>0</v>
      </c>
      <c r="I115" s="394">
        <v>0</v>
      </c>
      <c r="J115" s="394">
        <v>0</v>
      </c>
      <c r="K115" s="394">
        <v>0</v>
      </c>
      <c r="L115" s="395">
        <v>0</v>
      </c>
      <c r="M115" s="394">
        <v>0</v>
      </c>
      <c r="N115" s="394">
        <v>0</v>
      </c>
      <c r="O115" s="394">
        <v>0</v>
      </c>
      <c r="P115" s="394">
        <v>0</v>
      </c>
      <c r="Q115" s="394">
        <v>0</v>
      </c>
      <c r="R115" s="394">
        <v>0</v>
      </c>
      <c r="S115" s="394">
        <v>0</v>
      </c>
      <c r="T115" s="394">
        <v>0</v>
      </c>
      <c r="U115" s="394">
        <v>0</v>
      </c>
      <c r="V115" s="394">
        <v>0</v>
      </c>
      <c r="W115" s="394">
        <v>0</v>
      </c>
      <c r="X115" s="394">
        <v>0</v>
      </c>
      <c r="Y115" s="394">
        <v>0</v>
      </c>
      <c r="Z115" s="394"/>
      <c r="AA115" s="394">
        <v>0</v>
      </c>
      <c r="AB115" s="394">
        <v>0</v>
      </c>
      <c r="AC115" s="394">
        <v>0</v>
      </c>
      <c r="AD115" s="394">
        <v>0</v>
      </c>
      <c r="AE115" s="394">
        <v>0</v>
      </c>
      <c r="AF115" s="394">
        <v>0</v>
      </c>
      <c r="AG115" s="394">
        <v>0</v>
      </c>
      <c r="AH115" s="394">
        <v>0</v>
      </c>
      <c r="AI115" s="394">
        <v>0</v>
      </c>
      <c r="AJ115" s="394">
        <v>0</v>
      </c>
      <c r="AK115" s="394">
        <v>0</v>
      </c>
      <c r="AL115" s="394">
        <v>0</v>
      </c>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row>
    <row r="116" spans="1:131">
      <c r="A116" s="11"/>
      <c r="B116" s="11" t="s">
        <v>649</v>
      </c>
      <c r="C116" s="394">
        <v>0</v>
      </c>
      <c r="D116" s="394">
        <v>0</v>
      </c>
      <c r="E116" s="394">
        <v>0</v>
      </c>
      <c r="F116" s="394">
        <v>0</v>
      </c>
      <c r="G116" s="394">
        <v>0</v>
      </c>
      <c r="H116" s="394">
        <v>0</v>
      </c>
      <c r="I116" s="394">
        <v>0</v>
      </c>
      <c r="J116" s="394">
        <v>0</v>
      </c>
      <c r="K116" s="394">
        <v>0</v>
      </c>
      <c r="L116" s="395">
        <v>0</v>
      </c>
      <c r="M116" s="394">
        <v>0</v>
      </c>
      <c r="N116" s="394">
        <v>0</v>
      </c>
      <c r="O116" s="394">
        <v>0</v>
      </c>
      <c r="P116" s="394">
        <v>0</v>
      </c>
      <c r="Q116" s="394">
        <v>0</v>
      </c>
      <c r="R116" s="394">
        <v>0</v>
      </c>
      <c r="S116" s="394">
        <v>0</v>
      </c>
      <c r="T116" s="394">
        <v>0</v>
      </c>
      <c r="U116" s="394">
        <v>0</v>
      </c>
      <c r="V116" s="394">
        <v>0</v>
      </c>
      <c r="W116" s="394">
        <v>0</v>
      </c>
      <c r="X116" s="394">
        <v>0</v>
      </c>
      <c r="Y116" s="394">
        <v>0</v>
      </c>
      <c r="Z116" s="394"/>
      <c r="AA116" s="394">
        <v>0</v>
      </c>
      <c r="AB116" s="394">
        <v>0</v>
      </c>
      <c r="AC116" s="394">
        <v>0</v>
      </c>
      <c r="AD116" s="394">
        <v>0</v>
      </c>
      <c r="AE116" s="394">
        <v>0</v>
      </c>
      <c r="AF116" s="394">
        <v>0</v>
      </c>
      <c r="AG116" s="394">
        <v>0</v>
      </c>
      <c r="AH116" s="394">
        <v>0</v>
      </c>
      <c r="AI116" s="394">
        <v>0</v>
      </c>
      <c r="AJ116" s="394">
        <v>0</v>
      </c>
      <c r="AK116" s="394">
        <v>0</v>
      </c>
      <c r="AL116" s="394">
        <v>0</v>
      </c>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row>
    <row r="117" spans="1:131">
      <c r="A117" s="11"/>
      <c r="B117" s="11" t="s">
        <v>650</v>
      </c>
      <c r="C117" s="394">
        <v>0</v>
      </c>
      <c r="D117" s="394">
        <v>0</v>
      </c>
      <c r="E117" s="394">
        <v>0</v>
      </c>
      <c r="F117" s="394">
        <v>0</v>
      </c>
      <c r="G117" s="394">
        <v>0</v>
      </c>
      <c r="H117" s="394">
        <v>0</v>
      </c>
      <c r="I117" s="394">
        <v>0</v>
      </c>
      <c r="J117" s="394">
        <v>0</v>
      </c>
      <c r="K117" s="394">
        <v>0</v>
      </c>
      <c r="L117" s="395">
        <v>0</v>
      </c>
      <c r="M117" s="394">
        <v>0</v>
      </c>
      <c r="N117" s="394">
        <v>0</v>
      </c>
      <c r="O117" s="394">
        <v>0</v>
      </c>
      <c r="P117" s="394">
        <v>0</v>
      </c>
      <c r="Q117" s="394">
        <v>0</v>
      </c>
      <c r="R117" s="394">
        <v>0</v>
      </c>
      <c r="S117" s="394">
        <v>0</v>
      </c>
      <c r="T117" s="394">
        <v>0</v>
      </c>
      <c r="U117" s="394">
        <v>0</v>
      </c>
      <c r="V117" s="394">
        <v>0</v>
      </c>
      <c r="W117" s="394">
        <v>0</v>
      </c>
      <c r="X117" s="394">
        <v>0</v>
      </c>
      <c r="Y117" s="394">
        <v>0</v>
      </c>
      <c r="Z117" s="394"/>
      <c r="AA117" s="394">
        <v>0</v>
      </c>
      <c r="AB117" s="394">
        <v>0</v>
      </c>
      <c r="AC117" s="394">
        <v>0</v>
      </c>
      <c r="AD117" s="394">
        <v>0</v>
      </c>
      <c r="AE117" s="394">
        <v>0</v>
      </c>
      <c r="AF117" s="394">
        <v>0</v>
      </c>
      <c r="AG117" s="394">
        <v>0</v>
      </c>
      <c r="AH117" s="394">
        <v>0</v>
      </c>
      <c r="AI117" s="394">
        <v>0</v>
      </c>
      <c r="AJ117" s="394">
        <v>0</v>
      </c>
      <c r="AK117" s="394">
        <v>0</v>
      </c>
      <c r="AL117" s="394">
        <v>0</v>
      </c>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row>
    <row r="118" spans="1:131">
      <c r="A118" s="11"/>
      <c r="B118" s="11" t="s">
        <v>651</v>
      </c>
      <c r="C118" s="394">
        <v>0</v>
      </c>
      <c r="D118" s="394">
        <v>0</v>
      </c>
      <c r="E118" s="394">
        <v>0</v>
      </c>
      <c r="F118" s="394">
        <v>0</v>
      </c>
      <c r="G118" s="394">
        <v>0</v>
      </c>
      <c r="H118" s="394">
        <v>0</v>
      </c>
      <c r="I118" s="394">
        <v>0</v>
      </c>
      <c r="J118" s="394">
        <v>0</v>
      </c>
      <c r="K118" s="394">
        <v>0</v>
      </c>
      <c r="L118" s="395">
        <v>0</v>
      </c>
      <c r="M118" s="394">
        <v>0</v>
      </c>
      <c r="N118" s="394">
        <v>0</v>
      </c>
      <c r="O118" s="394">
        <v>0</v>
      </c>
      <c r="P118" s="394">
        <v>0</v>
      </c>
      <c r="Q118" s="394">
        <v>0</v>
      </c>
      <c r="R118" s="394">
        <v>0</v>
      </c>
      <c r="S118" s="394">
        <v>0</v>
      </c>
      <c r="T118" s="394">
        <v>0</v>
      </c>
      <c r="U118" s="394">
        <v>0</v>
      </c>
      <c r="V118" s="394">
        <v>0</v>
      </c>
      <c r="W118" s="394">
        <v>0</v>
      </c>
      <c r="X118" s="394">
        <v>0</v>
      </c>
      <c r="Y118" s="394">
        <v>0</v>
      </c>
      <c r="Z118" s="394"/>
      <c r="AA118" s="394">
        <v>0</v>
      </c>
      <c r="AB118" s="394">
        <v>0</v>
      </c>
      <c r="AC118" s="394">
        <v>0</v>
      </c>
      <c r="AD118" s="394">
        <v>0</v>
      </c>
      <c r="AE118" s="394">
        <v>0</v>
      </c>
      <c r="AF118" s="394">
        <v>0</v>
      </c>
      <c r="AG118" s="394">
        <v>0</v>
      </c>
      <c r="AH118" s="394">
        <v>0</v>
      </c>
      <c r="AI118" s="394">
        <v>0</v>
      </c>
      <c r="AJ118" s="394">
        <v>0</v>
      </c>
      <c r="AK118" s="394">
        <v>0</v>
      </c>
      <c r="AL118" s="394">
        <v>0</v>
      </c>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row>
    <row r="119" spans="1:131">
      <c r="A119" s="11"/>
      <c r="B119" s="11" t="s">
        <v>652</v>
      </c>
      <c r="C119" s="394">
        <v>0</v>
      </c>
      <c r="D119" s="394">
        <v>0</v>
      </c>
      <c r="E119" s="394">
        <v>0</v>
      </c>
      <c r="F119" s="394">
        <v>0</v>
      </c>
      <c r="G119" s="394">
        <v>0</v>
      </c>
      <c r="H119" s="394">
        <v>0</v>
      </c>
      <c r="I119" s="394">
        <v>0</v>
      </c>
      <c r="J119" s="394">
        <v>0</v>
      </c>
      <c r="K119" s="394">
        <v>0</v>
      </c>
      <c r="L119" s="395">
        <v>0</v>
      </c>
      <c r="M119" s="394">
        <v>0</v>
      </c>
      <c r="N119" s="394">
        <v>0</v>
      </c>
      <c r="O119" s="394">
        <v>0</v>
      </c>
      <c r="P119" s="394">
        <v>0</v>
      </c>
      <c r="Q119" s="394">
        <v>0</v>
      </c>
      <c r="R119" s="394">
        <v>0</v>
      </c>
      <c r="S119" s="394">
        <v>0</v>
      </c>
      <c r="T119" s="394">
        <v>0</v>
      </c>
      <c r="U119" s="394">
        <v>0</v>
      </c>
      <c r="V119" s="394">
        <v>0</v>
      </c>
      <c r="W119" s="394">
        <v>0</v>
      </c>
      <c r="X119" s="394">
        <v>0</v>
      </c>
      <c r="Y119" s="394">
        <v>0</v>
      </c>
      <c r="Z119" s="394"/>
      <c r="AA119" s="394">
        <v>0</v>
      </c>
      <c r="AB119" s="394">
        <v>0</v>
      </c>
      <c r="AC119" s="394">
        <v>0</v>
      </c>
      <c r="AD119" s="394">
        <v>0</v>
      </c>
      <c r="AE119" s="394">
        <v>0</v>
      </c>
      <c r="AF119" s="394">
        <v>0</v>
      </c>
      <c r="AG119" s="394">
        <v>0</v>
      </c>
      <c r="AH119" s="394">
        <v>0</v>
      </c>
      <c r="AI119" s="394">
        <v>0</v>
      </c>
      <c r="AJ119" s="394">
        <v>0</v>
      </c>
      <c r="AK119" s="394">
        <v>0</v>
      </c>
      <c r="AL119" s="394">
        <v>0</v>
      </c>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row>
    <row r="120" spans="1:131">
      <c r="A120" s="11"/>
      <c r="B120" s="11" t="s">
        <v>653</v>
      </c>
      <c r="C120" s="394">
        <v>0</v>
      </c>
      <c r="D120" s="394">
        <v>0</v>
      </c>
      <c r="E120" s="394">
        <v>0</v>
      </c>
      <c r="F120" s="394">
        <v>0</v>
      </c>
      <c r="G120" s="394">
        <v>0</v>
      </c>
      <c r="H120" s="394">
        <v>0</v>
      </c>
      <c r="I120" s="394">
        <v>0</v>
      </c>
      <c r="J120" s="394">
        <v>0</v>
      </c>
      <c r="K120" s="394">
        <v>0</v>
      </c>
      <c r="L120" s="395">
        <v>0</v>
      </c>
      <c r="M120" s="394">
        <v>0</v>
      </c>
      <c r="N120" s="394">
        <v>0</v>
      </c>
      <c r="O120" s="394">
        <v>0</v>
      </c>
      <c r="P120" s="394">
        <v>0</v>
      </c>
      <c r="Q120" s="394">
        <v>0</v>
      </c>
      <c r="R120" s="394">
        <v>0</v>
      </c>
      <c r="S120" s="394">
        <v>0</v>
      </c>
      <c r="T120" s="394">
        <v>0</v>
      </c>
      <c r="U120" s="394">
        <v>0</v>
      </c>
      <c r="V120" s="394">
        <v>0</v>
      </c>
      <c r="W120" s="394">
        <v>0</v>
      </c>
      <c r="X120" s="394">
        <v>0</v>
      </c>
      <c r="Y120" s="394">
        <v>0</v>
      </c>
      <c r="Z120" s="394"/>
      <c r="AA120" s="394">
        <v>0</v>
      </c>
      <c r="AB120" s="394">
        <v>0</v>
      </c>
      <c r="AC120" s="394">
        <v>0</v>
      </c>
      <c r="AD120" s="394">
        <v>0</v>
      </c>
      <c r="AE120" s="394">
        <v>0</v>
      </c>
      <c r="AF120" s="394">
        <v>0</v>
      </c>
      <c r="AG120" s="394">
        <v>0</v>
      </c>
      <c r="AH120" s="394">
        <v>0</v>
      </c>
      <c r="AI120" s="394">
        <v>0</v>
      </c>
      <c r="AJ120" s="394">
        <v>0</v>
      </c>
      <c r="AK120" s="394">
        <v>0</v>
      </c>
      <c r="AL120" s="394">
        <v>0</v>
      </c>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row>
    <row r="121" spans="1:131">
      <c r="A121" s="11"/>
      <c r="B121" s="11" t="s">
        <v>654</v>
      </c>
      <c r="C121" s="394">
        <v>0</v>
      </c>
      <c r="D121" s="394">
        <v>0</v>
      </c>
      <c r="E121" s="394">
        <v>0</v>
      </c>
      <c r="F121" s="394">
        <v>0</v>
      </c>
      <c r="G121" s="394">
        <v>0</v>
      </c>
      <c r="H121" s="394">
        <v>0</v>
      </c>
      <c r="I121" s="394">
        <v>0</v>
      </c>
      <c r="J121" s="394">
        <v>0</v>
      </c>
      <c r="K121" s="394">
        <v>0</v>
      </c>
      <c r="L121" s="395">
        <v>0</v>
      </c>
      <c r="M121" s="394">
        <v>0</v>
      </c>
      <c r="N121" s="394">
        <v>0</v>
      </c>
      <c r="O121" s="394">
        <v>0</v>
      </c>
      <c r="P121" s="394">
        <v>0</v>
      </c>
      <c r="Q121" s="394">
        <v>0</v>
      </c>
      <c r="R121" s="394">
        <v>0</v>
      </c>
      <c r="S121" s="394">
        <v>0</v>
      </c>
      <c r="T121" s="394">
        <v>0</v>
      </c>
      <c r="U121" s="394">
        <v>0</v>
      </c>
      <c r="V121" s="394">
        <v>0</v>
      </c>
      <c r="W121" s="394">
        <v>0</v>
      </c>
      <c r="X121" s="394">
        <v>0</v>
      </c>
      <c r="Y121" s="394">
        <v>0</v>
      </c>
      <c r="Z121" s="394"/>
      <c r="AA121" s="394">
        <v>0</v>
      </c>
      <c r="AB121" s="394">
        <v>0</v>
      </c>
      <c r="AC121" s="394">
        <v>0</v>
      </c>
      <c r="AD121" s="394">
        <v>0</v>
      </c>
      <c r="AE121" s="394">
        <v>0</v>
      </c>
      <c r="AF121" s="394">
        <v>0</v>
      </c>
      <c r="AG121" s="394">
        <v>0</v>
      </c>
      <c r="AH121" s="394">
        <v>0</v>
      </c>
      <c r="AI121" s="394">
        <v>0</v>
      </c>
      <c r="AJ121" s="394">
        <v>0</v>
      </c>
      <c r="AK121" s="394">
        <v>0</v>
      </c>
      <c r="AL121" s="394">
        <v>0</v>
      </c>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row>
    <row r="122" spans="1:131">
      <c r="A122" s="11"/>
      <c r="B122" s="11" t="s">
        <v>655</v>
      </c>
      <c r="C122" s="394">
        <v>0</v>
      </c>
      <c r="D122" s="394">
        <v>0</v>
      </c>
      <c r="E122" s="394">
        <v>0</v>
      </c>
      <c r="F122" s="394">
        <v>0</v>
      </c>
      <c r="G122" s="394">
        <v>0</v>
      </c>
      <c r="H122" s="394">
        <v>0</v>
      </c>
      <c r="I122" s="394">
        <v>0</v>
      </c>
      <c r="J122" s="394">
        <v>0</v>
      </c>
      <c r="K122" s="394">
        <v>0</v>
      </c>
      <c r="L122" s="395">
        <v>0</v>
      </c>
      <c r="M122" s="394">
        <v>0</v>
      </c>
      <c r="N122" s="394">
        <v>0</v>
      </c>
      <c r="O122" s="394">
        <v>0</v>
      </c>
      <c r="P122" s="394">
        <v>0</v>
      </c>
      <c r="Q122" s="394">
        <v>0</v>
      </c>
      <c r="R122" s="394">
        <v>0</v>
      </c>
      <c r="S122" s="394">
        <v>0</v>
      </c>
      <c r="T122" s="394">
        <v>0</v>
      </c>
      <c r="U122" s="394">
        <v>0</v>
      </c>
      <c r="V122" s="394">
        <v>0</v>
      </c>
      <c r="W122" s="394">
        <v>0</v>
      </c>
      <c r="X122" s="394">
        <v>0</v>
      </c>
      <c r="Y122" s="394">
        <v>0</v>
      </c>
      <c r="Z122" s="394"/>
      <c r="AA122" s="394">
        <v>0</v>
      </c>
      <c r="AB122" s="394">
        <v>0</v>
      </c>
      <c r="AC122" s="394">
        <v>0</v>
      </c>
      <c r="AD122" s="394">
        <v>0</v>
      </c>
      <c r="AE122" s="394">
        <v>0</v>
      </c>
      <c r="AF122" s="394">
        <v>0</v>
      </c>
      <c r="AG122" s="394">
        <v>0</v>
      </c>
      <c r="AH122" s="394">
        <v>0</v>
      </c>
      <c r="AI122" s="394">
        <v>0</v>
      </c>
      <c r="AJ122" s="394">
        <v>0</v>
      </c>
      <c r="AK122" s="394">
        <v>0</v>
      </c>
      <c r="AL122" s="394">
        <v>0</v>
      </c>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row>
    <row r="123" spans="1:131">
      <c r="A123" s="11"/>
      <c r="B123" s="11" t="s">
        <v>656</v>
      </c>
      <c r="C123" s="394">
        <v>0</v>
      </c>
      <c r="D123" s="394">
        <v>0</v>
      </c>
      <c r="E123" s="394">
        <v>0</v>
      </c>
      <c r="F123" s="394">
        <v>0</v>
      </c>
      <c r="G123" s="394">
        <v>0</v>
      </c>
      <c r="H123" s="394">
        <v>0</v>
      </c>
      <c r="I123" s="394">
        <v>0</v>
      </c>
      <c r="J123" s="394">
        <v>0</v>
      </c>
      <c r="K123" s="394">
        <v>0</v>
      </c>
      <c r="L123" s="395">
        <v>0</v>
      </c>
      <c r="M123" s="394">
        <v>0</v>
      </c>
      <c r="N123" s="394">
        <v>0</v>
      </c>
      <c r="O123" s="394">
        <v>0</v>
      </c>
      <c r="P123" s="394">
        <v>0</v>
      </c>
      <c r="Q123" s="394">
        <v>0</v>
      </c>
      <c r="R123" s="394">
        <v>0</v>
      </c>
      <c r="S123" s="394">
        <v>0</v>
      </c>
      <c r="T123" s="394">
        <v>0</v>
      </c>
      <c r="U123" s="394">
        <v>0</v>
      </c>
      <c r="V123" s="394">
        <v>0</v>
      </c>
      <c r="W123" s="394">
        <v>0</v>
      </c>
      <c r="X123" s="394">
        <v>0</v>
      </c>
      <c r="Y123" s="394">
        <v>0</v>
      </c>
      <c r="Z123" s="394"/>
      <c r="AA123" s="394">
        <v>0</v>
      </c>
      <c r="AB123" s="394">
        <v>0</v>
      </c>
      <c r="AC123" s="394">
        <v>0</v>
      </c>
      <c r="AD123" s="394">
        <v>0</v>
      </c>
      <c r="AE123" s="394">
        <v>0</v>
      </c>
      <c r="AF123" s="394">
        <v>0</v>
      </c>
      <c r="AG123" s="394">
        <v>0</v>
      </c>
      <c r="AH123" s="394">
        <v>0</v>
      </c>
      <c r="AI123" s="394">
        <v>0</v>
      </c>
      <c r="AJ123" s="394">
        <v>0</v>
      </c>
      <c r="AK123" s="394">
        <v>0</v>
      </c>
      <c r="AL123" s="394">
        <v>0</v>
      </c>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row>
    <row r="124" spans="1:131">
      <c r="A124" s="11"/>
      <c r="B124" s="11" t="s">
        <v>657</v>
      </c>
      <c r="C124" s="394">
        <v>0</v>
      </c>
      <c r="D124" s="394">
        <v>0</v>
      </c>
      <c r="E124" s="394">
        <v>0</v>
      </c>
      <c r="F124" s="394">
        <v>0</v>
      </c>
      <c r="G124" s="394">
        <v>0</v>
      </c>
      <c r="H124" s="394">
        <v>0</v>
      </c>
      <c r="I124" s="394">
        <v>0</v>
      </c>
      <c r="J124" s="394">
        <v>0</v>
      </c>
      <c r="K124" s="394">
        <v>0</v>
      </c>
      <c r="L124" s="395">
        <v>0</v>
      </c>
      <c r="M124" s="394">
        <v>0</v>
      </c>
      <c r="N124" s="394">
        <v>0</v>
      </c>
      <c r="O124" s="394">
        <v>0</v>
      </c>
      <c r="P124" s="394">
        <v>0</v>
      </c>
      <c r="Q124" s="394">
        <v>0</v>
      </c>
      <c r="R124" s="394">
        <v>0</v>
      </c>
      <c r="S124" s="394">
        <v>0</v>
      </c>
      <c r="T124" s="394">
        <v>0</v>
      </c>
      <c r="U124" s="394">
        <v>0</v>
      </c>
      <c r="V124" s="394">
        <v>0</v>
      </c>
      <c r="W124" s="394">
        <v>0</v>
      </c>
      <c r="X124" s="394">
        <v>0</v>
      </c>
      <c r="Y124" s="394">
        <v>0</v>
      </c>
      <c r="Z124" s="394"/>
      <c r="AA124" s="394">
        <v>0</v>
      </c>
      <c r="AB124" s="394">
        <v>0</v>
      </c>
      <c r="AC124" s="394">
        <v>0</v>
      </c>
      <c r="AD124" s="394">
        <v>0</v>
      </c>
      <c r="AE124" s="394">
        <v>0</v>
      </c>
      <c r="AF124" s="394">
        <v>0</v>
      </c>
      <c r="AG124" s="394">
        <v>0</v>
      </c>
      <c r="AH124" s="394">
        <v>0</v>
      </c>
      <c r="AI124" s="394">
        <v>0</v>
      </c>
      <c r="AJ124" s="394">
        <v>0</v>
      </c>
      <c r="AK124" s="394">
        <v>0</v>
      </c>
      <c r="AL124" s="394">
        <v>0</v>
      </c>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row>
    <row r="125" spans="1:131">
      <c r="A125" s="11"/>
      <c r="B125" s="11" t="s">
        <v>658</v>
      </c>
      <c r="C125" s="394">
        <v>0</v>
      </c>
      <c r="D125" s="394">
        <v>0</v>
      </c>
      <c r="E125" s="394">
        <v>0</v>
      </c>
      <c r="F125" s="394">
        <v>0</v>
      </c>
      <c r="G125" s="394">
        <v>0</v>
      </c>
      <c r="H125" s="394">
        <v>0</v>
      </c>
      <c r="I125" s="394">
        <v>0</v>
      </c>
      <c r="J125" s="394">
        <v>0</v>
      </c>
      <c r="K125" s="394">
        <v>0</v>
      </c>
      <c r="L125" s="395">
        <v>0</v>
      </c>
      <c r="M125" s="394">
        <v>0</v>
      </c>
      <c r="N125" s="394">
        <v>0</v>
      </c>
      <c r="O125" s="394">
        <v>0</v>
      </c>
      <c r="P125" s="394">
        <v>0</v>
      </c>
      <c r="Q125" s="394">
        <v>0</v>
      </c>
      <c r="R125" s="394">
        <v>0</v>
      </c>
      <c r="S125" s="394">
        <v>0</v>
      </c>
      <c r="T125" s="394">
        <v>0</v>
      </c>
      <c r="U125" s="394">
        <v>0</v>
      </c>
      <c r="V125" s="394">
        <v>0</v>
      </c>
      <c r="W125" s="394">
        <v>0</v>
      </c>
      <c r="X125" s="394">
        <v>0</v>
      </c>
      <c r="Y125" s="394">
        <v>0</v>
      </c>
      <c r="Z125" s="394"/>
      <c r="AA125" s="394">
        <v>0</v>
      </c>
      <c r="AB125" s="394">
        <v>0</v>
      </c>
      <c r="AC125" s="394">
        <v>0</v>
      </c>
      <c r="AD125" s="394">
        <v>0</v>
      </c>
      <c r="AE125" s="394">
        <v>0</v>
      </c>
      <c r="AF125" s="394">
        <v>0</v>
      </c>
      <c r="AG125" s="394">
        <v>0</v>
      </c>
      <c r="AH125" s="394">
        <v>0</v>
      </c>
      <c r="AI125" s="394">
        <v>0</v>
      </c>
      <c r="AJ125" s="394">
        <v>0</v>
      </c>
      <c r="AK125" s="394">
        <v>0</v>
      </c>
      <c r="AL125" s="394">
        <v>0</v>
      </c>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row>
    <row r="126" spans="1:131">
      <c r="A126" s="11"/>
      <c r="B126" s="11" t="s">
        <v>659</v>
      </c>
      <c r="C126" s="394">
        <v>0</v>
      </c>
      <c r="D126" s="394">
        <v>0</v>
      </c>
      <c r="E126" s="394">
        <v>0</v>
      </c>
      <c r="F126" s="394">
        <v>0</v>
      </c>
      <c r="G126" s="394">
        <v>0</v>
      </c>
      <c r="H126" s="394">
        <v>0</v>
      </c>
      <c r="I126" s="394">
        <v>0</v>
      </c>
      <c r="J126" s="394">
        <v>0</v>
      </c>
      <c r="K126" s="394">
        <v>0</v>
      </c>
      <c r="L126" s="395">
        <v>0</v>
      </c>
      <c r="M126" s="394">
        <v>0</v>
      </c>
      <c r="N126" s="394">
        <v>0</v>
      </c>
      <c r="O126" s="394">
        <v>0</v>
      </c>
      <c r="P126" s="394">
        <v>0</v>
      </c>
      <c r="Q126" s="394">
        <v>0</v>
      </c>
      <c r="R126" s="394">
        <v>0</v>
      </c>
      <c r="S126" s="394">
        <v>0</v>
      </c>
      <c r="T126" s="394">
        <v>0</v>
      </c>
      <c r="U126" s="394">
        <v>0</v>
      </c>
      <c r="V126" s="394">
        <v>0</v>
      </c>
      <c r="W126" s="394">
        <v>0</v>
      </c>
      <c r="X126" s="394">
        <v>0</v>
      </c>
      <c r="Y126" s="394">
        <v>0</v>
      </c>
      <c r="Z126" s="394"/>
      <c r="AA126" s="394">
        <v>0</v>
      </c>
      <c r="AB126" s="394">
        <v>0</v>
      </c>
      <c r="AC126" s="394">
        <v>0</v>
      </c>
      <c r="AD126" s="394">
        <v>0</v>
      </c>
      <c r="AE126" s="394">
        <v>0</v>
      </c>
      <c r="AF126" s="394">
        <v>0</v>
      </c>
      <c r="AG126" s="394">
        <v>0</v>
      </c>
      <c r="AH126" s="394">
        <v>0</v>
      </c>
      <c r="AI126" s="394">
        <v>0</v>
      </c>
      <c r="AJ126" s="394">
        <v>0</v>
      </c>
      <c r="AK126" s="394">
        <v>0</v>
      </c>
      <c r="AL126" s="394">
        <v>0</v>
      </c>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row>
    <row r="127" spans="1:131">
      <c r="A127" s="11"/>
      <c r="B127" s="11" t="s">
        <v>660</v>
      </c>
      <c r="C127" s="394">
        <v>0</v>
      </c>
      <c r="D127" s="394">
        <v>0</v>
      </c>
      <c r="E127" s="394">
        <v>0</v>
      </c>
      <c r="F127" s="394">
        <v>0</v>
      </c>
      <c r="G127" s="394">
        <v>0</v>
      </c>
      <c r="H127" s="394">
        <v>0</v>
      </c>
      <c r="I127" s="394">
        <v>0</v>
      </c>
      <c r="J127" s="394">
        <v>0</v>
      </c>
      <c r="K127" s="394">
        <v>0</v>
      </c>
      <c r="L127" s="395">
        <v>0</v>
      </c>
      <c r="M127" s="394">
        <v>0</v>
      </c>
      <c r="N127" s="394">
        <v>0</v>
      </c>
      <c r="O127" s="394">
        <v>0</v>
      </c>
      <c r="P127" s="394">
        <v>0</v>
      </c>
      <c r="Q127" s="394">
        <v>0</v>
      </c>
      <c r="R127" s="394">
        <v>0</v>
      </c>
      <c r="S127" s="394">
        <v>0</v>
      </c>
      <c r="T127" s="394">
        <v>0</v>
      </c>
      <c r="U127" s="394">
        <v>0</v>
      </c>
      <c r="V127" s="394">
        <v>0</v>
      </c>
      <c r="W127" s="394">
        <v>0</v>
      </c>
      <c r="X127" s="394">
        <v>0</v>
      </c>
      <c r="Y127" s="394">
        <v>0</v>
      </c>
      <c r="Z127" s="394"/>
      <c r="AA127" s="394">
        <v>0</v>
      </c>
      <c r="AB127" s="394">
        <v>0</v>
      </c>
      <c r="AC127" s="394">
        <v>0</v>
      </c>
      <c r="AD127" s="394">
        <v>0</v>
      </c>
      <c r="AE127" s="394">
        <v>0</v>
      </c>
      <c r="AF127" s="394">
        <v>0</v>
      </c>
      <c r="AG127" s="394">
        <v>0</v>
      </c>
      <c r="AH127" s="394">
        <v>0</v>
      </c>
      <c r="AI127" s="394">
        <v>0</v>
      </c>
      <c r="AJ127" s="394">
        <v>0</v>
      </c>
      <c r="AK127" s="394">
        <v>0</v>
      </c>
      <c r="AL127" s="394">
        <v>0</v>
      </c>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row>
    <row r="128" spans="1:131">
      <c r="A128" s="11"/>
      <c r="B128" s="11" t="s">
        <v>661</v>
      </c>
      <c r="C128" s="394">
        <v>0</v>
      </c>
      <c r="D128" s="394">
        <v>0</v>
      </c>
      <c r="E128" s="394">
        <v>0</v>
      </c>
      <c r="F128" s="394">
        <v>0</v>
      </c>
      <c r="G128" s="394">
        <v>0</v>
      </c>
      <c r="H128" s="394">
        <v>0</v>
      </c>
      <c r="I128" s="394">
        <v>0</v>
      </c>
      <c r="J128" s="394">
        <v>0</v>
      </c>
      <c r="K128" s="394">
        <v>0</v>
      </c>
      <c r="L128" s="395">
        <v>0</v>
      </c>
      <c r="M128" s="394">
        <v>0</v>
      </c>
      <c r="N128" s="394">
        <v>0</v>
      </c>
      <c r="O128" s="394">
        <v>0</v>
      </c>
      <c r="P128" s="394">
        <v>0</v>
      </c>
      <c r="Q128" s="394">
        <v>0</v>
      </c>
      <c r="R128" s="394">
        <v>0</v>
      </c>
      <c r="S128" s="394">
        <v>0</v>
      </c>
      <c r="T128" s="394">
        <v>0</v>
      </c>
      <c r="U128" s="394">
        <v>0</v>
      </c>
      <c r="V128" s="394">
        <v>0</v>
      </c>
      <c r="W128" s="394">
        <v>0</v>
      </c>
      <c r="X128" s="394">
        <v>0</v>
      </c>
      <c r="Y128" s="394">
        <v>0</v>
      </c>
      <c r="Z128" s="394"/>
      <c r="AA128" s="394">
        <v>0</v>
      </c>
      <c r="AB128" s="394">
        <v>0</v>
      </c>
      <c r="AC128" s="394">
        <v>0</v>
      </c>
      <c r="AD128" s="394">
        <v>0</v>
      </c>
      <c r="AE128" s="394">
        <v>0</v>
      </c>
      <c r="AF128" s="394">
        <v>0</v>
      </c>
      <c r="AG128" s="394">
        <v>0</v>
      </c>
      <c r="AH128" s="394">
        <v>0</v>
      </c>
      <c r="AI128" s="394">
        <v>0</v>
      </c>
      <c r="AJ128" s="394">
        <v>0</v>
      </c>
      <c r="AK128" s="394">
        <v>0</v>
      </c>
      <c r="AL128" s="394">
        <v>0</v>
      </c>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row>
    <row r="129" spans="1:131">
      <c r="A129" s="11"/>
      <c r="B129" s="11"/>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row>
    <row r="130" spans="1:131">
      <c r="A130" s="11"/>
      <c r="B130" s="11"/>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row>
    <row r="131" spans="1:131" ht="13.5" thickBot="1">
      <c r="A131" s="368" t="s">
        <v>662</v>
      </c>
      <c r="B131" s="370"/>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row>
    <row r="132" spans="1:131" ht="13.5" thickBot="1">
      <c r="A132" s="396"/>
      <c r="B132" s="397"/>
      <c r="C132" s="398"/>
      <c r="D132" s="398"/>
      <c r="E132" s="398"/>
      <c r="F132" s="398"/>
      <c r="G132" s="398"/>
      <c r="H132" s="398"/>
      <c r="I132" s="398"/>
      <c r="J132" s="398"/>
      <c r="K132" s="398"/>
      <c r="L132" s="398"/>
      <c r="M132" s="398"/>
      <c r="N132" s="398"/>
      <c r="O132" s="399" t="s">
        <v>961</v>
      </c>
      <c r="P132" s="400"/>
      <c r="Q132" s="400"/>
      <c r="R132" s="400"/>
      <c r="S132" s="400"/>
      <c r="T132" s="400"/>
      <c r="U132" s="400"/>
      <c r="V132" s="400"/>
      <c r="W132" s="400"/>
      <c r="X132" s="400"/>
      <c r="Y132" s="400"/>
      <c r="Z132" s="388"/>
      <c r="AA132" s="398"/>
      <c r="AB132" s="399" t="s">
        <v>962</v>
      </c>
      <c r="AC132" s="400"/>
      <c r="AD132" s="400"/>
      <c r="AE132" s="400"/>
      <c r="AF132" s="400"/>
      <c r="AG132" s="400"/>
      <c r="AH132" s="400"/>
      <c r="AI132" s="400"/>
      <c r="AJ132" s="400"/>
      <c r="AK132" s="400"/>
      <c r="AL132" s="400"/>
      <c r="AM132" s="388"/>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row>
    <row r="133" spans="1:131" ht="102">
      <c r="A133" s="379" t="s">
        <v>308</v>
      </c>
      <c r="B133" s="380" t="s">
        <v>309</v>
      </c>
      <c r="C133" s="381" t="s">
        <v>663</v>
      </c>
      <c r="D133" s="381" t="s">
        <v>617</v>
      </c>
      <c r="E133" s="381" t="s">
        <v>618</v>
      </c>
      <c r="F133" s="381" t="s">
        <v>619</v>
      </c>
      <c r="G133" s="381" t="s">
        <v>620</v>
      </c>
      <c r="H133" s="381" t="s">
        <v>621</v>
      </c>
      <c r="I133" s="381" t="s">
        <v>622</v>
      </c>
      <c r="J133" s="381" t="s">
        <v>623</v>
      </c>
      <c r="K133" s="381" t="s">
        <v>372</v>
      </c>
      <c r="L133" s="381" t="s">
        <v>371</v>
      </c>
      <c r="M133" s="381" t="s">
        <v>624</v>
      </c>
      <c r="N133" s="381" t="s">
        <v>963</v>
      </c>
      <c r="O133" s="381" t="s">
        <v>625</v>
      </c>
      <c r="P133" s="381" t="s">
        <v>626</v>
      </c>
      <c r="Q133" s="381" t="s">
        <v>627</v>
      </c>
      <c r="R133" s="381" t="s">
        <v>628</v>
      </c>
      <c r="S133" s="381" t="s">
        <v>629</v>
      </c>
      <c r="T133" s="381" t="s">
        <v>630</v>
      </c>
      <c r="U133" s="381" t="s">
        <v>631</v>
      </c>
      <c r="V133" s="381" t="s">
        <v>632</v>
      </c>
      <c r="W133" s="381" t="s">
        <v>633</v>
      </c>
      <c r="X133" s="381" t="s">
        <v>634</v>
      </c>
      <c r="Y133" s="381" t="s">
        <v>635</v>
      </c>
      <c r="Z133" s="381" t="s">
        <v>636</v>
      </c>
      <c r="AA133" s="381"/>
      <c r="AB133" s="381" t="s">
        <v>625</v>
      </c>
      <c r="AC133" s="381" t="s">
        <v>626</v>
      </c>
      <c r="AD133" s="381" t="s">
        <v>627</v>
      </c>
      <c r="AE133" s="381" t="s">
        <v>628</v>
      </c>
      <c r="AF133" s="381" t="s">
        <v>629</v>
      </c>
      <c r="AG133" s="381" t="s">
        <v>630</v>
      </c>
      <c r="AH133" s="381" t="s">
        <v>631</v>
      </c>
      <c r="AI133" s="381" t="s">
        <v>632</v>
      </c>
      <c r="AJ133" s="381" t="s">
        <v>633</v>
      </c>
      <c r="AK133" s="381" t="s">
        <v>634</v>
      </c>
      <c r="AL133" s="381" t="s">
        <v>635</v>
      </c>
      <c r="AM133" s="381" t="s">
        <v>636</v>
      </c>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row>
    <row r="134" spans="1:131">
      <c r="A134" s="11" t="s">
        <v>664</v>
      </c>
      <c r="B134" s="11"/>
      <c r="C134" s="166">
        <v>345.42828990947618</v>
      </c>
      <c r="D134" s="166">
        <v>-8.5918959509302795</v>
      </c>
      <c r="E134" s="166">
        <v>-1.7183791901860559</v>
      </c>
      <c r="F134" s="166">
        <v>-10.310275141116335</v>
      </c>
      <c r="G134" s="166">
        <v>-468.95768454782376</v>
      </c>
      <c r="H134" s="166">
        <v>249.12640769786555</v>
      </c>
      <c r="I134" s="166">
        <v>-261.46674396543511</v>
      </c>
      <c r="J134" s="166">
        <v>-18.369062264711971</v>
      </c>
      <c r="K134" s="166">
        <v>-117.67195201412203</v>
      </c>
      <c r="L134" s="383">
        <v>9999</v>
      </c>
      <c r="M134" s="166">
        <v>3.2815839422367321</v>
      </c>
      <c r="N134" s="166">
        <v>8.0741428992020942E-2</v>
      </c>
      <c r="O134" s="166">
        <v>14.354238834876915</v>
      </c>
      <c r="P134" s="166">
        <v>10.554999408362274</v>
      </c>
      <c r="Q134" s="166">
        <v>9.7715692128522278</v>
      </c>
      <c r="R134" s="166">
        <v>5.5879331732349788</v>
      </c>
      <c r="S134" s="166">
        <v>4.4884486279455649</v>
      </c>
      <c r="T134" s="166">
        <v>3.4834944677306874</v>
      </c>
      <c r="U134" s="166">
        <v>3.6485018388012316</v>
      </c>
      <c r="V134" s="166">
        <v>5.2980471214421785</v>
      </c>
      <c r="W134" s="166">
        <v>6.6817326782512199</v>
      </c>
      <c r="X134" s="166">
        <v>10.890107921335716</v>
      </c>
      <c r="Y134" s="166">
        <v>12.696281482442966</v>
      </c>
      <c r="Z134" s="166">
        <v>15.061606722201828</v>
      </c>
      <c r="AA134" s="166"/>
      <c r="AB134" s="166">
        <v>23.568835217118238</v>
      </c>
      <c r="AC134" s="166">
        <v>20.388813309884839</v>
      </c>
      <c r="AD134" s="166">
        <v>20.488701404707946</v>
      </c>
      <c r="AE134" s="166">
        <v>19.413583710035187</v>
      </c>
      <c r="AF134" s="166">
        <v>17.878061065201031</v>
      </c>
      <c r="AG134" s="166">
        <v>16.238885800282048</v>
      </c>
      <c r="AH134" s="166">
        <v>17.753253574658729</v>
      </c>
      <c r="AI134" s="166">
        <v>19.186846481024503</v>
      </c>
      <c r="AJ134" s="166">
        <v>20.597972638317124</v>
      </c>
      <c r="AK134" s="166">
        <v>21.320861890906876</v>
      </c>
      <c r="AL134" s="166">
        <v>22.477997305419027</v>
      </c>
      <c r="AM134" s="32">
        <v>23.5975160224428</v>
      </c>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row>
    <row r="135" spans="1:131">
      <c r="A135" s="11" t="s">
        <v>666</v>
      </c>
      <c r="B135" s="11"/>
      <c r="C135" s="166">
        <v>754.1040131826594</v>
      </c>
      <c r="D135" s="166">
        <v>2.0115772129567233</v>
      </c>
      <c r="E135" s="166">
        <v>0.40231544259134466</v>
      </c>
      <c r="F135" s="166">
        <v>2.413892655548068</v>
      </c>
      <c r="G135" s="166">
        <v>-456.56944591489059</v>
      </c>
      <c r="H135" s="166">
        <v>543.86750976294604</v>
      </c>
      <c r="I135" s="166">
        <v>28.040826322295615</v>
      </c>
      <c r="J135" s="166">
        <v>-17.712912269680494</v>
      </c>
      <c r="K135" s="166">
        <v>-62.326259680304034</v>
      </c>
      <c r="L135" s="383">
        <v>344.57587114380487</v>
      </c>
      <c r="M135" s="166">
        <v>7.1640212823477789</v>
      </c>
      <c r="N135" s="166">
        <v>0.1762664999121584</v>
      </c>
      <c r="O135" s="166">
        <v>31.336718583182005</v>
      </c>
      <c r="P135" s="166">
        <v>23.042604342199336</v>
      </c>
      <c r="Q135" s="166">
        <v>21.332298985804162</v>
      </c>
      <c r="R135" s="166">
        <v>12.19900904016087</v>
      </c>
      <c r="S135" s="166">
        <v>9.7987258779093338</v>
      </c>
      <c r="T135" s="166">
        <v>7.6048118661726276</v>
      </c>
      <c r="U135" s="166">
        <v>7.965039225551986</v>
      </c>
      <c r="V135" s="166">
        <v>11.566159208782222</v>
      </c>
      <c r="W135" s="166">
        <v>14.586881198999142</v>
      </c>
      <c r="X135" s="166">
        <v>23.774179264887835</v>
      </c>
      <c r="Y135" s="166">
        <v>27.717234222234651</v>
      </c>
      <c r="Z135" s="166">
        <v>32.880972421708215</v>
      </c>
      <c r="AA135" s="166"/>
      <c r="AB135" s="166">
        <v>51.453090966948281</v>
      </c>
      <c r="AC135" s="166">
        <v>44.510789620171131</v>
      </c>
      <c r="AD135" s="166">
        <v>44.728855179292005</v>
      </c>
      <c r="AE135" s="166">
        <v>42.381767254302176</v>
      </c>
      <c r="AF135" s="166">
        <v>39.029569931072679</v>
      </c>
      <c r="AG135" s="166">
        <v>35.451088718925604</v>
      </c>
      <c r="AH135" s="166">
        <v>38.757102874254976</v>
      </c>
      <c r="AI135" s="166">
        <v>41.886777528997158</v>
      </c>
      <c r="AJ135" s="166">
        <v>44.967405055481052</v>
      </c>
      <c r="AK135" s="166">
        <v>46.545543564655858</v>
      </c>
      <c r="AL135" s="166">
        <v>49.071684258309148</v>
      </c>
      <c r="AM135" s="32">
        <v>51.515703992656817</v>
      </c>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row>
    <row r="136" spans="1:131">
      <c r="A136" s="11" t="s">
        <v>665</v>
      </c>
      <c r="B136" s="11"/>
      <c r="C136" s="166">
        <v>462.19278227324287</v>
      </c>
      <c r="D136" s="166">
        <v>2.0115772129567233</v>
      </c>
      <c r="E136" s="166">
        <v>0.40231544259134466</v>
      </c>
      <c r="F136" s="166">
        <v>2.413892655548068</v>
      </c>
      <c r="G136" s="166">
        <v>-456.56944591489059</v>
      </c>
      <c r="H136" s="166">
        <v>333.33815114503147</v>
      </c>
      <c r="I136" s="166">
        <v>45.750821894271795</v>
      </c>
      <c r="J136" s="166">
        <v>-17.6727737216798</v>
      </c>
      <c r="K136" s="166">
        <v>-90.462972128486626</v>
      </c>
      <c r="L136" s="383">
        <v>272.27465578187531</v>
      </c>
      <c r="M136" s="166">
        <v>4.3908517536970244</v>
      </c>
      <c r="N136" s="166">
        <v>0.10803430639777449</v>
      </c>
      <c r="O136" s="166">
        <v>19.206375905821229</v>
      </c>
      <c r="P136" s="166">
        <v>14.122886532315722</v>
      </c>
      <c r="Q136" s="166">
        <v>13.074634862267068</v>
      </c>
      <c r="R136" s="166">
        <v>7.4768119923566623</v>
      </c>
      <c r="S136" s="166">
        <v>6.0056706993637858</v>
      </c>
      <c r="T136" s="166">
        <v>4.6610137244283845</v>
      </c>
      <c r="U136" s="166">
        <v>4.881798235015733</v>
      </c>
      <c r="V136" s="166">
        <v>7.0889362892536205</v>
      </c>
      <c r="W136" s="166">
        <v>8.9403465413220555</v>
      </c>
      <c r="X136" s="166">
        <v>14.571271162350607</v>
      </c>
      <c r="Y136" s="166">
        <v>16.987982265240593</v>
      </c>
      <c r="Z136" s="166">
        <v>20.152854064917939</v>
      </c>
      <c r="AA136" s="166"/>
      <c r="AB136" s="166">
        <v>31.535765431355397</v>
      </c>
      <c r="AC136" s="166">
        <v>27.280806541395208</v>
      </c>
      <c r="AD136" s="166">
        <v>27.414459626017681</v>
      </c>
      <c r="AE136" s="166">
        <v>25.975921865540045</v>
      </c>
      <c r="AF136" s="166">
        <v>23.92134931259293</v>
      </c>
      <c r="AG136" s="166">
        <v>21.728086634180208</v>
      </c>
      <c r="AH136" s="166">
        <v>23.754353374543371</v>
      </c>
      <c r="AI136" s="166">
        <v>25.67254106615955</v>
      </c>
      <c r="AJ136" s="166">
        <v>27.560667614649677</v>
      </c>
      <c r="AK136" s="166">
        <v>28.5279137976923</v>
      </c>
      <c r="AL136" s="166">
        <v>30.076193577673347</v>
      </c>
      <c r="AM136" s="32">
        <v>31.574141156789665</v>
      </c>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row>
    <row r="137" spans="1:131">
      <c r="A137" s="11" t="s">
        <v>667</v>
      </c>
      <c r="B137" s="11"/>
      <c r="C137" s="166">
        <v>1352.5220365469634</v>
      </c>
      <c r="D137" s="166">
        <v>134.02315442591345</v>
      </c>
      <c r="E137" s="166">
        <v>26.804630885182689</v>
      </c>
      <c r="F137" s="166">
        <v>160.82778531109614</v>
      </c>
      <c r="G137" s="166">
        <v>-274.71650403990441</v>
      </c>
      <c r="H137" s="166">
        <v>975.45269492967157</v>
      </c>
      <c r="I137" s="166">
        <v>1041.6476488043402</v>
      </c>
      <c r="J137" s="166">
        <v>-15.415638623694418</v>
      </c>
      <c r="K137" s="166">
        <v>-32.721967273198892</v>
      </c>
      <c r="L137" s="383">
        <v>7.4440454814210639</v>
      </c>
      <c r="M137" s="166">
        <v>12.849018816081845</v>
      </c>
      <c r="N137" s="166">
        <v>0.3161424966166454</v>
      </c>
      <c r="O137" s="166">
        <v>56.203921071771596</v>
      </c>
      <c r="P137" s="166">
        <v>41.328025852460748</v>
      </c>
      <c r="Q137" s="166">
        <v>38.26051043905521</v>
      </c>
      <c r="R137" s="166">
        <v>21.879512988159497</v>
      </c>
      <c r="S137" s="166">
        <v>17.574488993927709</v>
      </c>
      <c r="T137" s="166">
        <v>13.639598056748326</v>
      </c>
      <c r="U137" s="166">
        <v>14.285683256151303</v>
      </c>
      <c r="V137" s="166">
        <v>20.744466193815857</v>
      </c>
      <c r="W137" s="166">
        <v>26.162277247237174</v>
      </c>
      <c r="X137" s="166">
        <v>42.640140875089152</v>
      </c>
      <c r="Y137" s="166">
        <v>49.712200734072475</v>
      </c>
      <c r="Z137" s="166">
        <v>58.973615053128292</v>
      </c>
      <c r="AA137" s="166"/>
      <c r="AB137" s="166">
        <v>92.283608314913693</v>
      </c>
      <c r="AC137" s="166">
        <v>79.832254931661765</v>
      </c>
      <c r="AD137" s="166">
        <v>80.223366063504372</v>
      </c>
      <c r="AE137" s="166">
        <v>76.013750301264565</v>
      </c>
      <c r="AF137" s="166">
        <v>70.001422198956163</v>
      </c>
      <c r="AG137" s="166">
        <v>63.583242992653673</v>
      </c>
      <c r="AH137" s="166">
        <v>69.512739348663771</v>
      </c>
      <c r="AI137" s="166">
        <v>75.125962277814267</v>
      </c>
      <c r="AJ137" s="166">
        <v>80.651216809185371</v>
      </c>
      <c r="AK137" s="166">
        <v>83.481684586931166</v>
      </c>
      <c r="AL137" s="166">
        <v>88.012440153612545</v>
      </c>
      <c r="AM137" s="32">
        <v>92.395907806184496</v>
      </c>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row>
    <row r="138" spans="1:131">
      <c r="A138" s="11" t="s">
        <v>669</v>
      </c>
      <c r="B138" s="11"/>
      <c r="C138" s="166">
        <v>345.42828990947618</v>
      </c>
      <c r="D138" s="166">
        <v>113.40810404906972</v>
      </c>
      <c r="E138" s="166">
        <v>22.681620809813946</v>
      </c>
      <c r="F138" s="166">
        <v>136.08972485888367</v>
      </c>
      <c r="G138" s="166">
        <v>-292.3578903944707</v>
      </c>
      <c r="H138" s="166">
        <v>249.12640769786555</v>
      </c>
      <c r="I138" s="166">
        <v>3451.2112197765787</v>
      </c>
      <c r="J138" s="166">
        <v>-9.9545202026799231</v>
      </c>
      <c r="K138" s="166">
        <v>-80.053371425703361</v>
      </c>
      <c r="L138" s="383">
        <v>4.2984614685873614</v>
      </c>
      <c r="M138" s="166">
        <v>3.2815839422367321</v>
      </c>
      <c r="N138" s="166">
        <v>8.0741428992020942E-2</v>
      </c>
      <c r="O138" s="166">
        <v>14.354238834876915</v>
      </c>
      <c r="P138" s="166">
        <v>10.554999408362274</v>
      </c>
      <c r="Q138" s="166">
        <v>9.7715692128522278</v>
      </c>
      <c r="R138" s="166">
        <v>5.5879331732349788</v>
      </c>
      <c r="S138" s="166">
        <v>4.4884486279455649</v>
      </c>
      <c r="T138" s="166">
        <v>3.4834944677306874</v>
      </c>
      <c r="U138" s="166">
        <v>3.6485018388012316</v>
      </c>
      <c r="V138" s="166">
        <v>5.2980471214421785</v>
      </c>
      <c r="W138" s="166">
        <v>6.6817326782512199</v>
      </c>
      <c r="X138" s="166">
        <v>10.890107921335716</v>
      </c>
      <c r="Y138" s="166">
        <v>12.696281482442966</v>
      </c>
      <c r="Z138" s="166">
        <v>15.061606722201828</v>
      </c>
      <c r="AA138" s="166"/>
      <c r="AB138" s="166">
        <v>23.568835217118238</v>
      </c>
      <c r="AC138" s="166">
        <v>20.388813309884839</v>
      </c>
      <c r="AD138" s="166">
        <v>20.488701404707946</v>
      </c>
      <c r="AE138" s="166">
        <v>19.413583710035187</v>
      </c>
      <c r="AF138" s="166">
        <v>17.878061065201031</v>
      </c>
      <c r="AG138" s="166">
        <v>16.238885800282048</v>
      </c>
      <c r="AH138" s="166">
        <v>17.753253574658729</v>
      </c>
      <c r="AI138" s="166">
        <v>19.186846481024503</v>
      </c>
      <c r="AJ138" s="166">
        <v>20.597972638317124</v>
      </c>
      <c r="AK138" s="166">
        <v>21.320861890906876</v>
      </c>
      <c r="AL138" s="166">
        <v>22.477997305419027</v>
      </c>
      <c r="AM138" s="32">
        <v>23.5975160224428</v>
      </c>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row>
    <row r="139" spans="1:131">
      <c r="A139" s="11" t="s">
        <v>671</v>
      </c>
      <c r="B139" s="11"/>
      <c r="C139" s="166">
        <v>754.1040131826594</v>
      </c>
      <c r="D139" s="166">
        <v>162.01157721295672</v>
      </c>
      <c r="E139" s="166">
        <v>32.402315442591345</v>
      </c>
      <c r="F139" s="166">
        <v>194.41389265554807</v>
      </c>
      <c r="G139" s="166">
        <v>-224.96315850065699</v>
      </c>
      <c r="H139" s="166">
        <v>543.86750976294604</v>
      </c>
      <c r="I139" s="166">
        <v>2258.3962820657789</v>
      </c>
      <c r="J139" s="166">
        <v>-12.657957334477748</v>
      </c>
      <c r="K139" s="166">
        <v>-39.727260447917153</v>
      </c>
      <c r="L139" s="383">
        <v>4.2783422175841688</v>
      </c>
      <c r="M139" s="166">
        <v>7.1640212823477789</v>
      </c>
      <c r="N139" s="166">
        <v>0.1762664999121584</v>
      </c>
      <c r="O139" s="166">
        <v>31.336718583182005</v>
      </c>
      <c r="P139" s="166">
        <v>23.042604342199336</v>
      </c>
      <c r="Q139" s="166">
        <v>21.332298985804162</v>
      </c>
      <c r="R139" s="166">
        <v>12.19900904016087</v>
      </c>
      <c r="S139" s="166">
        <v>9.7987258779093338</v>
      </c>
      <c r="T139" s="166">
        <v>7.6048118661726276</v>
      </c>
      <c r="U139" s="166">
        <v>7.965039225551986</v>
      </c>
      <c r="V139" s="166">
        <v>11.566159208782222</v>
      </c>
      <c r="W139" s="166">
        <v>14.586881198999142</v>
      </c>
      <c r="X139" s="166">
        <v>23.774179264887835</v>
      </c>
      <c r="Y139" s="166">
        <v>27.717234222234651</v>
      </c>
      <c r="Z139" s="166">
        <v>32.880972421708215</v>
      </c>
      <c r="AA139" s="166"/>
      <c r="AB139" s="166">
        <v>51.453090966948281</v>
      </c>
      <c r="AC139" s="166">
        <v>44.510789620171131</v>
      </c>
      <c r="AD139" s="166">
        <v>44.728855179292005</v>
      </c>
      <c r="AE139" s="166">
        <v>42.381767254302176</v>
      </c>
      <c r="AF139" s="166">
        <v>39.029569931072679</v>
      </c>
      <c r="AG139" s="166">
        <v>35.451088718925604</v>
      </c>
      <c r="AH139" s="166">
        <v>38.757102874254976</v>
      </c>
      <c r="AI139" s="166">
        <v>41.886777528997158</v>
      </c>
      <c r="AJ139" s="166">
        <v>44.967405055481052</v>
      </c>
      <c r="AK139" s="166">
        <v>46.545543564655858</v>
      </c>
      <c r="AL139" s="166">
        <v>49.071684258309148</v>
      </c>
      <c r="AM139" s="32">
        <v>51.515703992656817</v>
      </c>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row>
    <row r="140" spans="1:131">
      <c r="A140" s="11" t="s">
        <v>668</v>
      </c>
      <c r="B140" s="11"/>
      <c r="C140" s="166">
        <v>3303.4620964582305</v>
      </c>
      <c r="D140" s="166">
        <v>532.0694632777404</v>
      </c>
      <c r="E140" s="166">
        <v>106.41389265554808</v>
      </c>
      <c r="F140" s="166">
        <v>638.48335593328852</v>
      </c>
      <c r="G140" s="166">
        <v>299.34608185731651</v>
      </c>
      <c r="H140" s="166">
        <v>2382.490575026065</v>
      </c>
      <c r="I140" s="166">
        <v>1693.1068178358096</v>
      </c>
      <c r="J140" s="166">
        <v>-13.939148975778181</v>
      </c>
      <c r="K140" s="166">
        <v>-11.108790871834286</v>
      </c>
      <c r="L140" s="383">
        <v>3.7047099466654321</v>
      </c>
      <c r="M140" s="166">
        <v>31.383035165897827</v>
      </c>
      <c r="N140" s="166">
        <v>0.77216098993777771</v>
      </c>
      <c r="O140" s="166">
        <v>137.27504463213276</v>
      </c>
      <c r="P140" s="166">
        <v>100.94147321518288</v>
      </c>
      <c r="Q140" s="166">
        <v>93.449232331361458</v>
      </c>
      <c r="R140" s="166">
        <v>53.439529924317611</v>
      </c>
      <c r="S140" s="166">
        <v>42.924741103873792</v>
      </c>
      <c r="T140" s="166">
        <v>33.313982304072347</v>
      </c>
      <c r="U140" s="166">
        <v>34.892010542901922</v>
      </c>
      <c r="V140" s="166">
        <v>50.667239372665343</v>
      </c>
      <c r="W140" s="166">
        <v>63.899950542712368</v>
      </c>
      <c r="X140" s="166">
        <v>104.1462433603796</v>
      </c>
      <c r="Y140" s="166">
        <v>121.41936797998275</v>
      </c>
      <c r="Z140" s="166">
        <v>144.03987273767663</v>
      </c>
      <c r="AA140" s="166"/>
      <c r="AB140" s="166">
        <v>225.39773397779277</v>
      </c>
      <c r="AC140" s="166">
        <v>194.98597517481414</v>
      </c>
      <c r="AD140" s="166">
        <v>195.9412430112211</v>
      </c>
      <c r="AE140" s="166">
        <v>185.65948364949148</v>
      </c>
      <c r="AF140" s="166">
        <v>170.97469666579579</v>
      </c>
      <c r="AG140" s="166">
        <v>155.29864025903538</v>
      </c>
      <c r="AH140" s="166">
        <v>169.7811151717363</v>
      </c>
      <c r="AI140" s="166">
        <v>183.49110930444562</v>
      </c>
      <c r="AJ140" s="166">
        <v>196.98624537207505</v>
      </c>
      <c r="AK140" s="166">
        <v>203.89951019613758</v>
      </c>
      <c r="AL140" s="166">
        <v>214.96563620252846</v>
      </c>
      <c r="AM140" s="32">
        <v>225.67201942589662</v>
      </c>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row>
    <row r="141" spans="1:131">
      <c r="A141" s="11" t="s">
        <v>670</v>
      </c>
      <c r="B141" s="11"/>
      <c r="C141" s="166">
        <v>462.19278227324287</v>
      </c>
      <c r="D141" s="166">
        <v>162.01157721295672</v>
      </c>
      <c r="E141" s="166">
        <v>32.402315442591345</v>
      </c>
      <c r="F141" s="166">
        <v>194.41389265554807</v>
      </c>
      <c r="G141" s="166">
        <v>-224.96315850065699</v>
      </c>
      <c r="H141" s="166">
        <v>333.33815114503147</v>
      </c>
      <c r="I141" s="166">
        <v>3684.751828633639</v>
      </c>
      <c r="J141" s="166">
        <v>-9.4252156695068887</v>
      </c>
      <c r="K141" s="166">
        <v>-53.590920749329072</v>
      </c>
      <c r="L141" s="383">
        <v>3.3806318206292603</v>
      </c>
      <c r="M141" s="166">
        <v>4.3908517536970244</v>
      </c>
      <c r="N141" s="166">
        <v>0.10803430639777449</v>
      </c>
      <c r="O141" s="166">
        <v>19.206375905821229</v>
      </c>
      <c r="P141" s="166">
        <v>14.122886532315722</v>
      </c>
      <c r="Q141" s="166">
        <v>13.074634862267068</v>
      </c>
      <c r="R141" s="166">
        <v>7.4768119923566623</v>
      </c>
      <c r="S141" s="166">
        <v>6.0056706993637858</v>
      </c>
      <c r="T141" s="166">
        <v>4.6610137244283845</v>
      </c>
      <c r="U141" s="166">
        <v>4.881798235015733</v>
      </c>
      <c r="V141" s="166">
        <v>7.0889362892536205</v>
      </c>
      <c r="W141" s="166">
        <v>8.9403465413220555</v>
      </c>
      <c r="X141" s="166">
        <v>14.571271162350607</v>
      </c>
      <c r="Y141" s="166">
        <v>16.987982265240593</v>
      </c>
      <c r="Z141" s="166">
        <v>20.152854064917939</v>
      </c>
      <c r="AA141" s="166"/>
      <c r="AB141" s="166">
        <v>31.535765431355397</v>
      </c>
      <c r="AC141" s="166">
        <v>27.280806541395208</v>
      </c>
      <c r="AD141" s="166">
        <v>27.414459626017681</v>
      </c>
      <c r="AE141" s="166">
        <v>25.975921865540045</v>
      </c>
      <c r="AF141" s="166">
        <v>23.92134931259293</v>
      </c>
      <c r="AG141" s="166">
        <v>21.728086634180208</v>
      </c>
      <c r="AH141" s="166">
        <v>23.754353374543371</v>
      </c>
      <c r="AI141" s="166">
        <v>25.67254106615955</v>
      </c>
      <c r="AJ141" s="166">
        <v>27.560667614649677</v>
      </c>
      <c r="AK141" s="166">
        <v>28.5279137976923</v>
      </c>
      <c r="AL141" s="166">
        <v>30.076193577673347</v>
      </c>
      <c r="AM141" s="32">
        <v>31.574141156789665</v>
      </c>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row>
    <row r="142" spans="1:131">
      <c r="A142" s="11" t="s">
        <v>672</v>
      </c>
      <c r="B142" s="11"/>
      <c r="C142" s="166">
        <v>1352.5220365469634</v>
      </c>
      <c r="D142" s="166">
        <v>324.02315442591345</v>
      </c>
      <c r="E142" s="166">
        <v>64.804630885182689</v>
      </c>
      <c r="F142" s="166">
        <v>388.82778531109614</v>
      </c>
      <c r="G142" s="166">
        <v>0.31596226449794074</v>
      </c>
      <c r="H142" s="166">
        <v>975.45269492967157</v>
      </c>
      <c r="I142" s="166">
        <v>2518.3555663323432</v>
      </c>
      <c r="J142" s="166">
        <v>-12.06877659937515</v>
      </c>
      <c r="K142" s="166">
        <v>-17.759275560208927</v>
      </c>
      <c r="L142" s="383">
        <v>3.079022111483495</v>
      </c>
      <c r="M142" s="166">
        <v>12.849018816081845</v>
      </c>
      <c r="N142" s="166">
        <v>0.3161424966166454</v>
      </c>
      <c r="O142" s="166">
        <v>56.203921071771596</v>
      </c>
      <c r="P142" s="166">
        <v>41.328025852460748</v>
      </c>
      <c r="Q142" s="166">
        <v>38.26051043905521</v>
      </c>
      <c r="R142" s="166">
        <v>21.879512988159497</v>
      </c>
      <c r="S142" s="166">
        <v>17.574488993927709</v>
      </c>
      <c r="T142" s="166">
        <v>13.639598056748326</v>
      </c>
      <c r="U142" s="166">
        <v>14.285683256151303</v>
      </c>
      <c r="V142" s="166">
        <v>20.744466193815857</v>
      </c>
      <c r="W142" s="166">
        <v>26.162277247237174</v>
      </c>
      <c r="X142" s="166">
        <v>42.640140875089152</v>
      </c>
      <c r="Y142" s="166">
        <v>49.712200734072475</v>
      </c>
      <c r="Z142" s="166">
        <v>58.973615053128292</v>
      </c>
      <c r="AA142" s="166"/>
      <c r="AB142" s="166">
        <v>92.283608314913693</v>
      </c>
      <c r="AC142" s="166">
        <v>79.832254931661765</v>
      </c>
      <c r="AD142" s="166">
        <v>80.223366063504372</v>
      </c>
      <c r="AE142" s="166">
        <v>76.013750301264565</v>
      </c>
      <c r="AF142" s="166">
        <v>70.001422198956163</v>
      </c>
      <c r="AG142" s="166">
        <v>63.583242992653673</v>
      </c>
      <c r="AH142" s="166">
        <v>69.512739348663771</v>
      </c>
      <c r="AI142" s="166">
        <v>75.125962277814267</v>
      </c>
      <c r="AJ142" s="166">
        <v>80.651216809185371</v>
      </c>
      <c r="AK142" s="166">
        <v>83.481684586931166</v>
      </c>
      <c r="AL142" s="166">
        <v>88.012440153612545</v>
      </c>
      <c r="AM142" s="32">
        <v>92.395907806184496</v>
      </c>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row>
    <row r="143" spans="1:131">
      <c r="A143" s="11" t="s">
        <v>673</v>
      </c>
      <c r="B143" s="11"/>
      <c r="C143" s="166">
        <v>3303.4620964582305</v>
      </c>
      <c r="D143" s="166">
        <v>972.0694632777404</v>
      </c>
      <c r="E143" s="166">
        <v>194.4138926555481</v>
      </c>
      <c r="F143" s="166">
        <v>1166.4833559332885</v>
      </c>
      <c r="G143" s="166">
        <v>936.26337224645908</v>
      </c>
      <c r="H143" s="166">
        <v>2382.490575026065</v>
      </c>
      <c r="I143" s="166">
        <v>3093.2379121077679</v>
      </c>
      <c r="J143" s="166">
        <v>-10.765843318738163</v>
      </c>
      <c r="K143" s="166">
        <v>3.0779888377458473</v>
      </c>
      <c r="L143" s="383">
        <v>2.0278005918171509</v>
      </c>
      <c r="M143" s="166">
        <v>31.383035165897827</v>
      </c>
      <c r="N143" s="166">
        <v>0.77216098993777771</v>
      </c>
      <c r="O143" s="166">
        <v>137.27504463213276</v>
      </c>
      <c r="P143" s="166">
        <v>100.94147321518288</v>
      </c>
      <c r="Q143" s="166">
        <v>93.449232331361458</v>
      </c>
      <c r="R143" s="166">
        <v>53.439529924317611</v>
      </c>
      <c r="S143" s="166">
        <v>42.924741103873792</v>
      </c>
      <c r="T143" s="166">
        <v>33.313982304072347</v>
      </c>
      <c r="U143" s="166">
        <v>34.892010542901922</v>
      </c>
      <c r="V143" s="166">
        <v>50.667239372665343</v>
      </c>
      <c r="W143" s="166">
        <v>63.899950542712368</v>
      </c>
      <c r="X143" s="166">
        <v>104.1462433603796</v>
      </c>
      <c r="Y143" s="166">
        <v>121.41936797998275</v>
      </c>
      <c r="Z143" s="166">
        <v>144.03987273767663</v>
      </c>
      <c r="AA143" s="166"/>
      <c r="AB143" s="166">
        <v>225.39773397779277</v>
      </c>
      <c r="AC143" s="166">
        <v>194.98597517481414</v>
      </c>
      <c r="AD143" s="166">
        <v>195.9412430112211</v>
      </c>
      <c r="AE143" s="166">
        <v>185.65948364949148</v>
      </c>
      <c r="AF143" s="166">
        <v>170.97469666579579</v>
      </c>
      <c r="AG143" s="166">
        <v>155.29864025903538</v>
      </c>
      <c r="AH143" s="166">
        <v>169.7811151717363</v>
      </c>
      <c r="AI143" s="166">
        <v>183.49110930444562</v>
      </c>
      <c r="AJ143" s="166">
        <v>196.98624537207505</v>
      </c>
      <c r="AK143" s="166">
        <v>203.89951019613758</v>
      </c>
      <c r="AL143" s="166">
        <v>214.96563620252846</v>
      </c>
      <c r="AM143" s="32">
        <v>225.67201942589662</v>
      </c>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row>
    <row r="144" spans="1:131">
      <c r="A144" s="11"/>
      <c r="B144" s="11"/>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row>
  </sheetData>
  <mergeCells count="3">
    <mergeCell ref="I6:N6"/>
    <mergeCell ref="O6:P6"/>
    <mergeCell ref="R6:T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sheetPr codeName="Sheet2"/>
  <dimension ref="A1:EA172"/>
  <sheetViews>
    <sheetView workbookViewId="0">
      <selection activeCell="A34" sqref="A34:EA172"/>
    </sheetView>
  </sheetViews>
  <sheetFormatPr defaultRowHeight="12.75"/>
  <cols>
    <col min="1" max="1" width="56" customWidth="1"/>
    <col min="2" max="2" width="53.2851562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05">
      <c r="A1" s="2" t="s">
        <v>10</v>
      </c>
      <c r="B1" s="3"/>
      <c r="C1" s="3"/>
      <c r="D1" s="3"/>
      <c r="E1" s="3"/>
      <c r="F1" s="3"/>
      <c r="G1" s="3"/>
      <c r="H1" s="4"/>
      <c r="I1" s="5"/>
      <c r="J1" s="5"/>
      <c r="K1" s="5"/>
      <c r="L1" s="5"/>
      <c r="M1" s="5"/>
      <c r="N1" s="6"/>
      <c r="O1" s="7" t="e">
        <v>#REF!</v>
      </c>
      <c r="P1" s="6"/>
      <c r="Q1" s="6"/>
      <c r="R1" s="6"/>
      <c r="S1" s="4"/>
      <c r="T1" s="4"/>
      <c r="U1" s="4"/>
      <c r="V1" s="6"/>
      <c r="W1" s="4"/>
      <c r="X1" s="4"/>
      <c r="Y1" s="4"/>
      <c r="Z1" s="4"/>
      <c r="AA1" s="4"/>
      <c r="AB1" s="4"/>
      <c r="AC1" s="4"/>
      <c r="AD1" s="4"/>
      <c r="AE1" s="4"/>
      <c r="AF1" s="4"/>
      <c r="AG1" s="4"/>
      <c r="AH1" s="4"/>
      <c r="AI1" s="4"/>
      <c r="AJ1" s="4"/>
      <c r="AK1" s="4"/>
      <c r="AL1" s="4"/>
      <c r="AM1" s="4"/>
      <c r="AN1" s="4"/>
      <c r="AO1" s="4"/>
      <c r="AP1" s="8"/>
      <c r="AQ1" s="4"/>
      <c r="AR1" s="4"/>
      <c r="AS1" s="4"/>
      <c r="AT1" s="4"/>
      <c r="AU1" s="4"/>
      <c r="AV1" s="8"/>
      <c r="AW1" s="4"/>
      <c r="AX1" s="4"/>
      <c r="AY1" s="4"/>
      <c r="AZ1" s="4"/>
      <c r="BA1" s="4"/>
      <c r="BB1" s="4"/>
      <c r="BC1" s="4"/>
      <c r="BD1" s="4"/>
      <c r="BE1" s="4"/>
      <c r="BF1" s="4"/>
      <c r="BG1" s="4"/>
      <c r="BH1" s="4"/>
      <c r="BI1" s="4"/>
      <c r="BJ1" s="4"/>
      <c r="BK1" s="4"/>
      <c r="BL1" s="4"/>
      <c r="BM1" s="9"/>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8"/>
      <c r="CQ1" s="4"/>
      <c r="CR1" s="4"/>
      <c r="CS1" s="4"/>
      <c r="CT1" s="4"/>
      <c r="CU1" s="4"/>
      <c r="CV1" s="4"/>
      <c r="CW1" s="4"/>
      <c r="CX1" s="4"/>
      <c r="CY1" s="4"/>
      <c r="CZ1" s="4"/>
      <c r="DA1" s="4"/>
    </row>
    <row r="2" spans="1:105">
      <c r="A2" s="10" t="s">
        <v>11</v>
      </c>
      <c r="B2" s="4" t="str">
        <f>'7PSourceSummary'!D2</f>
        <v>Street and Roadway Lighting</v>
      </c>
      <c r="C2" s="4"/>
      <c r="D2" s="4"/>
      <c r="E2" s="4"/>
      <c r="F2" s="4"/>
      <c r="G2" s="4"/>
      <c r="H2" s="4"/>
      <c r="I2" s="5"/>
      <c r="J2" s="5"/>
      <c r="K2" s="5"/>
      <c r="L2" s="5"/>
      <c r="M2" s="5"/>
      <c r="N2" s="6"/>
      <c r="O2" s="6"/>
      <c r="P2" s="6"/>
      <c r="Q2" s="6"/>
      <c r="R2" s="6"/>
      <c r="S2" s="4"/>
      <c r="T2" s="4"/>
      <c r="U2" s="4"/>
      <c r="V2" s="6"/>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8"/>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05">
      <c r="A3" s="10" t="s">
        <v>12</v>
      </c>
      <c r="B3" s="11"/>
      <c r="C3" s="10">
        <v>2012</v>
      </c>
      <c r="D3" s="11"/>
      <c r="E3" s="11"/>
      <c r="F3" s="11"/>
      <c r="G3" s="11"/>
      <c r="H3" s="11"/>
      <c r="I3" s="11"/>
      <c r="J3" s="12"/>
      <c r="K3" s="13"/>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3"/>
      <c r="CP3" s="13"/>
      <c r="CQ3" s="11"/>
      <c r="CR3" s="11"/>
      <c r="CS3" s="11"/>
      <c r="CT3" s="11"/>
      <c r="CU3" s="11"/>
      <c r="CV3" s="11"/>
      <c r="CW3" s="11"/>
      <c r="CX3" s="11"/>
      <c r="CY3" s="11"/>
      <c r="CZ3" s="11"/>
      <c r="DA3" s="11"/>
    </row>
    <row r="4" spans="1:105">
      <c r="A4" s="11"/>
      <c r="B4" s="14"/>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row>
    <row r="5" spans="1:105">
      <c r="A5" s="15">
        <v>1</v>
      </c>
      <c r="B5" s="15">
        <v>2</v>
      </c>
      <c r="C5" s="15">
        <v>3</v>
      </c>
      <c r="D5" s="15">
        <v>4</v>
      </c>
      <c r="E5" s="15">
        <v>5</v>
      </c>
      <c r="F5" s="15">
        <v>6</v>
      </c>
      <c r="G5" s="15">
        <v>7</v>
      </c>
      <c r="H5" s="15">
        <v>8</v>
      </c>
      <c r="I5" s="15">
        <v>9</v>
      </c>
      <c r="J5" s="15">
        <v>10</v>
      </c>
      <c r="K5" s="15">
        <v>11</v>
      </c>
      <c r="L5" s="15">
        <v>12</v>
      </c>
      <c r="M5" s="15">
        <v>13</v>
      </c>
      <c r="N5" s="15">
        <v>14</v>
      </c>
      <c r="O5" s="15">
        <v>15</v>
      </c>
      <c r="P5" s="15">
        <v>16</v>
      </c>
      <c r="Q5" s="15">
        <v>17</v>
      </c>
      <c r="R5" s="15">
        <v>18</v>
      </c>
      <c r="S5" s="15">
        <v>19</v>
      </c>
      <c r="T5" s="15">
        <v>20</v>
      </c>
      <c r="U5" s="15">
        <v>21</v>
      </c>
      <c r="V5" s="15">
        <v>22</v>
      </c>
      <c r="W5" s="15">
        <v>23</v>
      </c>
      <c r="X5" s="15">
        <v>24</v>
      </c>
      <c r="Y5" s="15">
        <v>25</v>
      </c>
      <c r="Z5" s="15">
        <v>26</v>
      </c>
      <c r="AA5" s="15">
        <v>27</v>
      </c>
      <c r="AB5" s="15">
        <v>28</v>
      </c>
      <c r="AC5" s="15">
        <v>29</v>
      </c>
      <c r="AD5" s="15">
        <v>30</v>
      </c>
      <c r="AE5" s="15">
        <v>31</v>
      </c>
      <c r="AF5" s="15">
        <v>32</v>
      </c>
      <c r="AG5" s="15">
        <v>33</v>
      </c>
      <c r="AH5" s="15">
        <v>34</v>
      </c>
      <c r="AI5" s="15">
        <v>35</v>
      </c>
      <c r="AJ5" s="15">
        <v>36</v>
      </c>
      <c r="AK5" s="15">
        <v>37</v>
      </c>
      <c r="AL5" s="15">
        <v>38</v>
      </c>
      <c r="AM5" s="15">
        <v>39</v>
      </c>
      <c r="AN5" s="15">
        <v>40</v>
      </c>
      <c r="AO5" s="15">
        <v>41</v>
      </c>
      <c r="AP5" s="15">
        <v>42</v>
      </c>
      <c r="AQ5" s="15">
        <v>43</v>
      </c>
      <c r="AR5" s="15">
        <v>44</v>
      </c>
      <c r="AS5" s="15">
        <v>45</v>
      </c>
      <c r="AT5" s="15">
        <v>46</v>
      </c>
      <c r="AU5" s="15">
        <v>47</v>
      </c>
      <c r="AV5" s="15">
        <v>48</v>
      </c>
      <c r="AW5" s="15">
        <v>49</v>
      </c>
      <c r="AX5" s="15">
        <v>50</v>
      </c>
      <c r="AY5" s="15">
        <v>51</v>
      </c>
      <c r="AZ5" s="15">
        <v>52</v>
      </c>
      <c r="BA5" s="15">
        <v>53</v>
      </c>
      <c r="BB5" s="15">
        <v>54</v>
      </c>
      <c r="BC5" s="15">
        <v>55</v>
      </c>
      <c r="BD5" s="15">
        <v>56</v>
      </c>
      <c r="BE5" s="15">
        <v>57</v>
      </c>
      <c r="BF5" s="15">
        <v>58</v>
      </c>
      <c r="BG5" s="15">
        <v>59</v>
      </c>
      <c r="BH5" s="15">
        <v>60</v>
      </c>
      <c r="BI5" s="15">
        <v>61</v>
      </c>
      <c r="BJ5" s="15">
        <v>62</v>
      </c>
      <c r="BK5" s="15">
        <v>63</v>
      </c>
      <c r="BL5" s="15">
        <v>64</v>
      </c>
      <c r="BM5" s="15">
        <v>65</v>
      </c>
      <c r="BN5" s="15">
        <v>66</v>
      </c>
      <c r="BO5" s="15">
        <v>67</v>
      </c>
      <c r="BP5" s="15">
        <v>68</v>
      </c>
      <c r="BQ5" s="15">
        <v>69</v>
      </c>
      <c r="BR5" s="15">
        <v>70</v>
      </c>
      <c r="BS5" s="15">
        <v>71</v>
      </c>
      <c r="BT5" s="15">
        <v>72</v>
      </c>
      <c r="BU5" s="15">
        <v>73</v>
      </c>
      <c r="BV5" s="15">
        <v>74</v>
      </c>
      <c r="BW5" s="15">
        <v>75</v>
      </c>
      <c r="BX5" s="15">
        <v>76</v>
      </c>
      <c r="BY5" s="15">
        <v>77</v>
      </c>
      <c r="BZ5" s="15">
        <v>78</v>
      </c>
      <c r="CA5" s="15">
        <v>79</v>
      </c>
      <c r="CB5" s="15">
        <v>80</v>
      </c>
      <c r="CC5" s="15">
        <v>81</v>
      </c>
      <c r="CD5" s="15">
        <v>82</v>
      </c>
      <c r="CE5" s="15">
        <v>83</v>
      </c>
      <c r="CF5" s="15">
        <v>84</v>
      </c>
      <c r="CG5" s="15">
        <v>85</v>
      </c>
      <c r="CH5" s="15">
        <v>86</v>
      </c>
      <c r="CI5" s="15">
        <v>87</v>
      </c>
      <c r="CJ5" s="15">
        <v>88</v>
      </c>
      <c r="CK5" s="15">
        <v>89</v>
      </c>
      <c r="CL5" s="15">
        <v>90</v>
      </c>
      <c r="CM5" s="15">
        <v>91</v>
      </c>
      <c r="CN5" s="15">
        <v>92</v>
      </c>
      <c r="CO5" s="15">
        <v>93</v>
      </c>
      <c r="CP5" s="15">
        <v>94</v>
      </c>
      <c r="CQ5" s="15">
        <v>95</v>
      </c>
      <c r="CR5" s="15">
        <v>96</v>
      </c>
      <c r="CS5" s="15">
        <v>97</v>
      </c>
      <c r="CT5" s="15">
        <v>98</v>
      </c>
      <c r="CU5" s="15">
        <v>99</v>
      </c>
      <c r="CV5" s="15">
        <v>100</v>
      </c>
      <c r="CW5" s="15">
        <v>101</v>
      </c>
      <c r="CX5" s="15">
        <v>102</v>
      </c>
      <c r="CY5" s="15">
        <v>103</v>
      </c>
      <c r="CZ5" s="15">
        <v>104</v>
      </c>
      <c r="DA5" s="15">
        <v>105</v>
      </c>
    </row>
    <row r="6" spans="1:105">
      <c r="A6" s="16" t="s">
        <v>13</v>
      </c>
      <c r="B6" s="17"/>
      <c r="C6" s="17"/>
      <c r="D6" s="17"/>
      <c r="E6" s="17"/>
      <c r="F6" s="17"/>
      <c r="G6" s="18"/>
      <c r="H6" s="19"/>
      <c r="I6" s="445" t="s">
        <v>14</v>
      </c>
      <c r="J6" s="446"/>
      <c r="K6" s="446"/>
      <c r="L6" s="446"/>
      <c r="M6" s="446"/>
      <c r="N6" s="447"/>
      <c r="O6" s="448" t="s">
        <v>15</v>
      </c>
      <c r="P6" s="449"/>
      <c r="Q6" s="20" t="s">
        <v>16</v>
      </c>
      <c r="R6" s="450" t="s">
        <v>17</v>
      </c>
      <c r="S6" s="450"/>
      <c r="T6" s="450"/>
      <c r="U6" s="21"/>
      <c r="V6" s="21"/>
      <c r="W6" s="21"/>
      <c r="X6" s="22"/>
      <c r="Y6" s="23"/>
      <c r="Z6" s="21"/>
      <c r="AA6" s="21"/>
      <c r="AB6" s="21"/>
      <c r="AC6" s="21"/>
      <c r="AD6" s="21"/>
      <c r="AE6" s="24"/>
      <c r="AF6" s="24"/>
      <c r="AG6" s="24"/>
      <c r="AH6" s="24"/>
      <c r="AI6" s="24"/>
      <c r="AJ6" s="24"/>
      <c r="AK6" s="24"/>
      <c r="AL6" s="24"/>
      <c r="AM6" s="24"/>
      <c r="AN6" s="24"/>
      <c r="AO6" s="2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row>
    <row r="7" spans="1:105" ht="25.5">
      <c r="A7" s="25" t="s">
        <v>18</v>
      </c>
      <c r="B7" s="25" t="s">
        <v>19</v>
      </c>
      <c r="C7" s="25" t="s">
        <v>20</v>
      </c>
      <c r="D7" s="25" t="s">
        <v>21</v>
      </c>
      <c r="E7" s="25" t="s">
        <v>22</v>
      </c>
      <c r="F7" s="26" t="s">
        <v>23</v>
      </c>
      <c r="G7" s="25" t="s">
        <v>24</v>
      </c>
      <c r="H7" s="27" t="s">
        <v>25</v>
      </c>
      <c r="I7" s="27" t="s">
        <v>26</v>
      </c>
      <c r="J7" s="27" t="s">
        <v>27</v>
      </c>
      <c r="K7" s="27" t="s">
        <v>28</v>
      </c>
      <c r="L7" s="27" t="s">
        <v>29</v>
      </c>
      <c r="M7" s="27" t="s">
        <v>30</v>
      </c>
      <c r="N7" s="27" t="s">
        <v>31</v>
      </c>
      <c r="O7" s="28" t="s">
        <v>32</v>
      </c>
      <c r="P7" s="27" t="s">
        <v>24</v>
      </c>
      <c r="Q7" s="29" t="s">
        <v>33</v>
      </c>
      <c r="R7" s="30" t="s">
        <v>34</v>
      </c>
      <c r="S7" s="30" t="s">
        <v>35</v>
      </c>
      <c r="T7" s="30" t="s">
        <v>36</v>
      </c>
      <c r="U7" s="31"/>
      <c r="V7" s="31"/>
      <c r="W7" s="31"/>
      <c r="X7" s="31"/>
      <c r="Y7" s="31"/>
      <c r="Z7" s="31"/>
      <c r="AA7" s="31"/>
      <c r="AB7" s="31"/>
      <c r="AC7" s="31"/>
      <c r="AD7" s="31"/>
      <c r="AE7" s="24"/>
      <c r="AF7" s="24"/>
      <c r="AG7" s="24"/>
      <c r="AH7" s="24"/>
      <c r="AI7" s="24"/>
      <c r="AJ7" s="24"/>
      <c r="AK7" s="24"/>
      <c r="AL7" s="24"/>
      <c r="AM7" s="24"/>
      <c r="AN7" s="24"/>
      <c r="AO7" s="2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row>
    <row r="8" spans="1:105">
      <c r="A8" s="32" t="str">
        <f>B8</f>
        <v>Streetlight - HPS 100W - Group Relamp - to LED 42W - New</v>
      </c>
      <c r="B8" s="32" t="str">
        <f>MMap!F13</f>
        <v>Streetlight - HPS 100W - Group Relamp - to LED 42W - New</v>
      </c>
      <c r="C8" s="33">
        <f>MMap!G13</f>
        <v>339.69999999999993</v>
      </c>
      <c r="D8" s="63">
        <f>MMap!L13</f>
        <v>16.279069767441861</v>
      </c>
      <c r="E8" s="35">
        <f>MMap!H13</f>
        <v>-8.5918959509302795</v>
      </c>
      <c r="F8" s="35">
        <f>MMap!M13</f>
        <v>0</v>
      </c>
      <c r="G8" s="36" t="s">
        <v>526</v>
      </c>
      <c r="H8" s="34"/>
      <c r="I8" s="34">
        <f>MMap!N13</f>
        <v>-77</v>
      </c>
      <c r="J8" s="34">
        <f>MMap!O13</f>
        <v>5</v>
      </c>
      <c r="K8" s="34"/>
      <c r="L8" s="34"/>
      <c r="M8" s="34"/>
      <c r="N8" s="34"/>
      <c r="O8" s="11"/>
      <c r="P8" s="37"/>
      <c r="Q8" s="38" t="s">
        <v>871</v>
      </c>
      <c r="R8" s="34"/>
      <c r="S8" s="34"/>
      <c r="T8" s="34"/>
      <c r="U8" s="31"/>
      <c r="V8" s="31"/>
      <c r="W8" s="31"/>
      <c r="X8" s="31"/>
      <c r="Y8" s="31"/>
      <c r="Z8" s="31"/>
      <c r="AA8" s="31"/>
      <c r="AB8" s="31"/>
      <c r="AC8" s="31"/>
      <c r="AD8" s="31"/>
      <c r="AE8" s="24"/>
      <c r="AF8" s="24"/>
      <c r="AG8" s="24"/>
      <c r="AH8" s="24"/>
      <c r="AI8" s="24"/>
      <c r="AJ8" s="24"/>
      <c r="AK8" s="24"/>
      <c r="AL8" s="24"/>
      <c r="AM8" s="24"/>
      <c r="AN8" s="24"/>
      <c r="AO8" s="24"/>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row>
    <row r="9" spans="1:105">
      <c r="A9" s="32" t="str">
        <f t="shared" ref="A9:A31" si="0">B9</f>
        <v>Streetlight - HPS 100W - Tariff Relamp - to LED 42W - New</v>
      </c>
      <c r="B9" s="32" t="str">
        <f>MMap!F14</f>
        <v>Streetlight - HPS 100W - Tariff Relamp - to LED 42W - New</v>
      </c>
      <c r="C9" s="33">
        <f>MMap!G14</f>
        <v>339.69999999999993</v>
      </c>
      <c r="D9" s="63">
        <f>MMap!L14</f>
        <v>16.279069767441861</v>
      </c>
      <c r="E9" s="35">
        <f>MMap!H14</f>
        <v>-8.5918959509302795</v>
      </c>
      <c r="F9" s="35">
        <f>MMap!M14</f>
        <v>-56</v>
      </c>
      <c r="G9" s="36" t="s">
        <v>526</v>
      </c>
      <c r="H9" s="11"/>
      <c r="I9" s="34">
        <f>MMap!N14</f>
        <v>0</v>
      </c>
      <c r="J9" s="34">
        <f>MMap!O14</f>
        <v>0</v>
      </c>
      <c r="K9" s="11"/>
      <c r="L9" s="11"/>
      <c r="M9" s="11"/>
      <c r="N9" s="11"/>
      <c r="O9" s="11"/>
      <c r="P9" s="37"/>
      <c r="Q9" s="38" t="s">
        <v>871</v>
      </c>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row>
    <row r="10" spans="1:105">
      <c r="A10" s="32" t="str">
        <f t="shared" si="0"/>
        <v>Streetlight - HPS 100W - Group Relamp - to LED 58W - New</v>
      </c>
      <c r="B10" s="32" t="str">
        <f>MMap!F15</f>
        <v>Streetlight - HPS 100W - Group Relamp - to LED 58W - New</v>
      </c>
      <c r="C10" s="33">
        <f>MMap!G15</f>
        <v>270.89999999999998</v>
      </c>
      <c r="D10" s="63">
        <f>MMap!L15</f>
        <v>16.279069767441861</v>
      </c>
      <c r="E10" s="35">
        <f>MMap!H15</f>
        <v>-8.5918959509302795</v>
      </c>
      <c r="F10" s="35">
        <f>MMap!M15</f>
        <v>0</v>
      </c>
      <c r="G10" s="36" t="s">
        <v>526</v>
      </c>
      <c r="H10" s="11"/>
      <c r="I10" s="34">
        <f>MMap!N15</f>
        <v>-77</v>
      </c>
      <c r="J10" s="34">
        <f>MMap!O15</f>
        <v>5</v>
      </c>
      <c r="K10" s="11"/>
      <c r="L10" s="11"/>
      <c r="M10" s="11"/>
      <c r="N10" s="11"/>
      <c r="O10" s="11"/>
      <c r="P10" s="37"/>
      <c r="Q10" s="38" t="s">
        <v>871</v>
      </c>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row>
    <row r="11" spans="1:105">
      <c r="A11" s="32" t="str">
        <f t="shared" si="0"/>
        <v>Streetlight - HPS 100W - Tariff Relamp - to LED 58W - New</v>
      </c>
      <c r="B11" s="32" t="str">
        <f>MMap!F16</f>
        <v>Streetlight - HPS 100W - Tariff Relamp - to LED 58W - New</v>
      </c>
      <c r="C11" s="33">
        <f>MMap!G16</f>
        <v>270.89999999999998</v>
      </c>
      <c r="D11" s="63">
        <f>MMap!L16</f>
        <v>16.279069767441861</v>
      </c>
      <c r="E11" s="35">
        <f>MMap!H16</f>
        <v>-8.5918959509302795</v>
      </c>
      <c r="F11" s="35">
        <f>MMap!M16</f>
        <v>-56</v>
      </c>
      <c r="G11" s="36" t="s">
        <v>526</v>
      </c>
      <c r="H11" s="11"/>
      <c r="I11" s="34">
        <f>MMap!N16</f>
        <v>0</v>
      </c>
      <c r="J11" s="34">
        <f>MMap!O16</f>
        <v>0</v>
      </c>
      <c r="K11" s="11"/>
      <c r="L11" s="11"/>
      <c r="M11" s="11"/>
      <c r="N11" s="11"/>
      <c r="O11" s="11"/>
      <c r="P11" s="11"/>
      <c r="Q11" s="38" t="s">
        <v>871</v>
      </c>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row>
    <row r="12" spans="1:105">
      <c r="A12" s="32" t="str">
        <f t="shared" si="0"/>
        <v>Streetlight - MH 200W - Group Relamp - to LED 135W - New</v>
      </c>
      <c r="B12" s="32" t="str">
        <f>MMap!F17</f>
        <v>Streetlight - MH 200W - Group Relamp - to LED 135W - New</v>
      </c>
      <c r="C12" s="33">
        <f>MMap!G17</f>
        <v>408.5</v>
      </c>
      <c r="D12" s="63">
        <f>MMap!L17</f>
        <v>16.279069767441861</v>
      </c>
      <c r="E12" s="35">
        <f>MMap!H17</f>
        <v>2.0115772129567233</v>
      </c>
      <c r="F12" s="35">
        <f>MMap!M17</f>
        <v>0</v>
      </c>
      <c r="G12" s="36" t="s">
        <v>526</v>
      </c>
      <c r="H12" s="11"/>
      <c r="I12" s="34">
        <f>MMap!N17</f>
        <v>-80</v>
      </c>
      <c r="J12" s="34">
        <f>MMap!O17</f>
        <v>5</v>
      </c>
      <c r="K12" s="11"/>
      <c r="L12" s="11"/>
      <c r="M12" s="11"/>
      <c r="N12" s="11"/>
      <c r="O12" s="11"/>
      <c r="P12" s="11"/>
      <c r="Q12" s="38" t="s">
        <v>871</v>
      </c>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row>
    <row r="13" spans="1:105">
      <c r="A13" s="32" t="str">
        <f t="shared" si="0"/>
        <v>Streetlight - MH 200W - Tariff Relamp - to LED 135W - New</v>
      </c>
      <c r="B13" s="32" t="str">
        <f>MMap!F18</f>
        <v>Streetlight - MH 200W - Tariff Relamp - to LED 135W - New</v>
      </c>
      <c r="C13" s="33">
        <f>MMap!G18</f>
        <v>408.5</v>
      </c>
      <c r="D13" s="63">
        <f>MMap!L18</f>
        <v>16.279069767441861</v>
      </c>
      <c r="E13" s="35">
        <f>MMap!H18</f>
        <v>2.0115772129567233</v>
      </c>
      <c r="F13" s="35">
        <f>MMap!M18</f>
        <v>-56</v>
      </c>
      <c r="G13" s="36" t="s">
        <v>526</v>
      </c>
      <c r="H13" s="11"/>
      <c r="I13" s="34">
        <f>MMap!N18</f>
        <v>0</v>
      </c>
      <c r="J13" s="34">
        <f>MMap!O18</f>
        <v>0</v>
      </c>
      <c r="K13" s="11"/>
      <c r="L13" s="11"/>
      <c r="M13" s="11"/>
      <c r="N13" s="11"/>
      <c r="O13" s="11"/>
      <c r="P13" s="11"/>
      <c r="Q13" s="38" t="s">
        <v>871</v>
      </c>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row>
    <row r="14" spans="1:105">
      <c r="A14" s="32" t="str">
        <f t="shared" si="0"/>
        <v>Streetlight - HPS 250W - Group Relamp - to LED 135W - New</v>
      </c>
      <c r="B14" s="32" t="str">
        <f>MMap!F19</f>
        <v>Streetlight - HPS 250W - Group Relamp - to LED 135W - New</v>
      </c>
      <c r="C14" s="33">
        <f>MMap!G19</f>
        <v>666.5</v>
      </c>
      <c r="D14" s="63">
        <f>MMap!L19</f>
        <v>16.279069767441861</v>
      </c>
      <c r="E14" s="35">
        <f>MMap!H19</f>
        <v>2.0115772129567233</v>
      </c>
      <c r="F14" s="35">
        <f>MMap!M19</f>
        <v>0</v>
      </c>
      <c r="G14" s="36" t="s">
        <v>526</v>
      </c>
      <c r="I14" s="34">
        <f>MMap!N19</f>
        <v>-80</v>
      </c>
      <c r="J14" s="34">
        <f>MMap!O19</f>
        <v>5</v>
      </c>
      <c r="Q14" s="38" t="s">
        <v>871</v>
      </c>
    </row>
    <row r="15" spans="1:105">
      <c r="A15" s="32" t="str">
        <f t="shared" si="0"/>
        <v>Streetlight - HPS 250W - Tariff Relamp - to LED 135W - New</v>
      </c>
      <c r="B15" s="32" t="str">
        <f>MMap!F20</f>
        <v>Streetlight - HPS 250W - Tariff Relamp - to LED 135W - New</v>
      </c>
      <c r="C15" s="33">
        <f>MMap!G20</f>
        <v>666.5</v>
      </c>
      <c r="D15" s="63">
        <f>MMap!L20</f>
        <v>16.279069767441861</v>
      </c>
      <c r="E15" s="35">
        <f>MMap!H20</f>
        <v>2.0115772129567233</v>
      </c>
      <c r="F15" s="35">
        <f>MMap!M20</f>
        <v>-56</v>
      </c>
      <c r="G15" s="36" t="s">
        <v>526</v>
      </c>
      <c r="I15" s="34">
        <f>MMap!N20</f>
        <v>0</v>
      </c>
      <c r="J15" s="34">
        <f>MMap!O20</f>
        <v>0</v>
      </c>
      <c r="Q15" s="38" t="s">
        <v>871</v>
      </c>
    </row>
    <row r="16" spans="1:105">
      <c r="A16" s="32" t="str">
        <f t="shared" si="0"/>
        <v>Streetlight - MH 400W - Group Relamp - to LED 180W - New</v>
      </c>
      <c r="B16" s="32" t="str">
        <f>MMap!F21</f>
        <v>Streetlight - MH 400W - Group Relamp - to LED 180W - New</v>
      </c>
      <c r="C16" s="33">
        <f>MMap!G21</f>
        <v>1195.4000000000001</v>
      </c>
      <c r="D16" s="63">
        <f>MMap!L21</f>
        <v>16.279069767441861</v>
      </c>
      <c r="E16" s="35">
        <f>MMap!H21</f>
        <v>134.02315442591345</v>
      </c>
      <c r="F16" s="35">
        <f>MMap!M21</f>
        <v>0</v>
      </c>
      <c r="G16" s="36" t="s">
        <v>526</v>
      </c>
      <c r="I16" s="34">
        <f>MMap!N21</f>
        <v>-83</v>
      </c>
      <c r="J16" s="34">
        <f>MMap!O21</f>
        <v>4</v>
      </c>
      <c r="Q16" s="38" t="s">
        <v>871</v>
      </c>
    </row>
    <row r="17" spans="1:17">
      <c r="A17" s="32" t="str">
        <f t="shared" si="0"/>
        <v>Streetlight - MH 400W - Tariff Relamp - to LED 180W - New</v>
      </c>
      <c r="B17" s="32" t="str">
        <f>MMap!F22</f>
        <v>Streetlight - MH 400W - Tariff Relamp - to LED 180W - New</v>
      </c>
      <c r="C17" s="33">
        <f>MMap!G22</f>
        <v>1195.4000000000001</v>
      </c>
      <c r="D17" s="63">
        <f>MMap!L22</f>
        <v>16.279069767441861</v>
      </c>
      <c r="E17" s="35">
        <f>MMap!H22</f>
        <v>134.02315442591345</v>
      </c>
      <c r="F17" s="35">
        <f>MMap!M22</f>
        <v>-56</v>
      </c>
      <c r="G17" s="36" t="s">
        <v>526</v>
      </c>
      <c r="I17" s="34">
        <f>MMap!N22</f>
        <v>0</v>
      </c>
      <c r="J17" s="34">
        <f>MMap!O22</f>
        <v>0</v>
      </c>
      <c r="Q17" s="38" t="s">
        <v>871</v>
      </c>
    </row>
    <row r="18" spans="1:17">
      <c r="A18" s="32" t="str">
        <f t="shared" si="0"/>
        <v>Streetlight - MH 1000W - Group Relamp - to LED 421W - New</v>
      </c>
      <c r="B18" s="32" t="str">
        <f>MMap!F23</f>
        <v>Streetlight - MH 1000W - Group Relamp - to LED 421W - New</v>
      </c>
      <c r="C18" s="33">
        <f>MMap!G23</f>
        <v>2919.7</v>
      </c>
      <c r="D18" s="63">
        <f>MMap!L23</f>
        <v>16.279069767441861</v>
      </c>
      <c r="E18" s="35">
        <f>MMap!H23</f>
        <v>532.0694632777404</v>
      </c>
      <c r="F18" s="35">
        <f>MMap!M23</f>
        <v>0</v>
      </c>
      <c r="G18" s="36" t="s">
        <v>526</v>
      </c>
      <c r="I18" s="34">
        <f>MMap!N23</f>
        <v>-85</v>
      </c>
      <c r="J18" s="34">
        <f>MMap!O23</f>
        <v>4</v>
      </c>
      <c r="Q18" s="38" t="s">
        <v>871</v>
      </c>
    </row>
    <row r="19" spans="1:17">
      <c r="A19" s="32" t="str">
        <f t="shared" si="0"/>
        <v>Streetlight - MH 1000W - Tariff Relamp - to LED 421W - New</v>
      </c>
      <c r="B19" s="32" t="str">
        <f>MMap!F24</f>
        <v>Streetlight - MH 1000W - Tariff Relamp - to LED 421W - New</v>
      </c>
      <c r="C19" s="33">
        <f>MMap!G24</f>
        <v>2919.7</v>
      </c>
      <c r="D19" s="63">
        <f>MMap!L24</f>
        <v>16.279069767441861</v>
      </c>
      <c r="E19" s="35">
        <f>MMap!H24</f>
        <v>532.0694632777404</v>
      </c>
      <c r="F19" s="35">
        <f>MMap!M24</f>
        <v>-56</v>
      </c>
      <c r="G19" s="36" t="s">
        <v>526</v>
      </c>
      <c r="I19" s="34">
        <f>MMap!N24</f>
        <v>0</v>
      </c>
      <c r="J19" s="34">
        <f>MMap!O24</f>
        <v>0</v>
      </c>
      <c r="Q19" s="38" t="s">
        <v>871</v>
      </c>
    </row>
    <row r="20" spans="1:17">
      <c r="A20" s="32" t="str">
        <f t="shared" si="0"/>
        <v>Streetlight - HPS 100W - Group Relamp - to LED 42W - NR</v>
      </c>
      <c r="B20" s="32" t="str">
        <f>MMap!F25</f>
        <v>Streetlight - HPS 100W - Group Relamp - to LED 42W - NR</v>
      </c>
      <c r="C20" s="33">
        <f>MMap!G25</f>
        <v>339.69999999999993</v>
      </c>
      <c r="D20" s="63">
        <f>MMap!L25</f>
        <v>16.279069767441861</v>
      </c>
      <c r="E20" s="35">
        <f>MMap!H25</f>
        <v>113.40810404906972</v>
      </c>
      <c r="F20" s="35">
        <f>MMap!M25</f>
        <v>0</v>
      </c>
      <c r="G20" s="36" t="s">
        <v>526</v>
      </c>
      <c r="I20" s="34">
        <f>MMap!N25</f>
        <v>-77</v>
      </c>
      <c r="J20" s="34">
        <f>MMap!O25</f>
        <v>5</v>
      </c>
      <c r="Q20" s="38" t="s">
        <v>871</v>
      </c>
    </row>
    <row r="21" spans="1:17">
      <c r="A21" s="32" t="str">
        <f t="shared" si="0"/>
        <v>Streetlight - HPS 100W - Tariff Relamp - to LED 42W - NR</v>
      </c>
      <c r="B21" s="32" t="str">
        <f>MMap!F26</f>
        <v>Streetlight - HPS 100W - Tariff Relamp - to LED 42W - NR</v>
      </c>
      <c r="C21" s="33">
        <f>MMap!G26</f>
        <v>339.69999999999993</v>
      </c>
      <c r="D21" s="63">
        <f>MMap!L26</f>
        <v>16.279069767441861</v>
      </c>
      <c r="E21" s="35">
        <f>MMap!H26</f>
        <v>113.40810404906972</v>
      </c>
      <c r="F21" s="35">
        <f>MMap!M26</f>
        <v>-56</v>
      </c>
      <c r="G21" s="36" t="s">
        <v>526</v>
      </c>
      <c r="I21" s="34">
        <f>MMap!N26</f>
        <v>0</v>
      </c>
      <c r="J21" s="34">
        <f>MMap!O26</f>
        <v>0</v>
      </c>
      <c r="Q21" s="38" t="s">
        <v>871</v>
      </c>
    </row>
    <row r="22" spans="1:17">
      <c r="A22" s="32" t="str">
        <f t="shared" si="0"/>
        <v>Streetlight - HPS 100W - Group Relamp - to LED 58W - NR</v>
      </c>
      <c r="B22" s="32" t="str">
        <f>MMap!F27</f>
        <v>Streetlight - HPS 100W - Group Relamp - to LED 58W - NR</v>
      </c>
      <c r="C22" s="33">
        <f>MMap!G27</f>
        <v>270.89999999999998</v>
      </c>
      <c r="D22" s="63">
        <f>MMap!L27</f>
        <v>16.279069767441861</v>
      </c>
      <c r="E22" s="35">
        <f>MMap!H27</f>
        <v>113.40810404906972</v>
      </c>
      <c r="F22" s="35">
        <f>MMap!M27</f>
        <v>0</v>
      </c>
      <c r="G22" s="36" t="s">
        <v>526</v>
      </c>
      <c r="I22" s="34">
        <f>MMap!N27</f>
        <v>-77</v>
      </c>
      <c r="J22" s="34">
        <f>MMap!O27</f>
        <v>5</v>
      </c>
      <c r="Q22" s="38" t="s">
        <v>871</v>
      </c>
    </row>
    <row r="23" spans="1:17">
      <c r="A23" s="32" t="str">
        <f t="shared" si="0"/>
        <v>Streetlight - HPS 100W - Tariff Relamp - to LED 58W - NR</v>
      </c>
      <c r="B23" s="32" t="str">
        <f>MMap!F28</f>
        <v>Streetlight - HPS 100W - Tariff Relamp - to LED 58W - NR</v>
      </c>
      <c r="C23" s="33">
        <f>MMap!G28</f>
        <v>270.89999999999998</v>
      </c>
      <c r="D23" s="63">
        <f>MMap!L28</f>
        <v>16.279069767441861</v>
      </c>
      <c r="E23" s="35">
        <f>MMap!H28</f>
        <v>113.40810404906972</v>
      </c>
      <c r="F23" s="35">
        <f>MMap!M28</f>
        <v>-56</v>
      </c>
      <c r="G23" s="36" t="s">
        <v>526</v>
      </c>
      <c r="I23" s="34">
        <f>MMap!N28</f>
        <v>0</v>
      </c>
      <c r="J23" s="34">
        <f>MMap!O28</f>
        <v>0</v>
      </c>
      <c r="Q23" s="38" t="s">
        <v>871</v>
      </c>
    </row>
    <row r="24" spans="1:17">
      <c r="A24" s="32" t="str">
        <f t="shared" si="0"/>
        <v>Streetlight - MH 200W - Group Relamp - to LED 135W - NR</v>
      </c>
      <c r="B24" s="32" t="str">
        <f>MMap!F29</f>
        <v>Streetlight - MH 200W - Group Relamp - to LED 135W - NR</v>
      </c>
      <c r="C24" s="33">
        <f>MMap!G29</f>
        <v>408.5</v>
      </c>
      <c r="D24" s="63">
        <f>MMap!L29</f>
        <v>16.279069767441861</v>
      </c>
      <c r="E24" s="35">
        <f>MMap!H29</f>
        <v>162.01157721295672</v>
      </c>
      <c r="F24" s="35">
        <f>MMap!M29</f>
        <v>0</v>
      </c>
      <c r="G24" s="36" t="s">
        <v>526</v>
      </c>
      <c r="I24" s="34">
        <f>MMap!N29</f>
        <v>-80</v>
      </c>
      <c r="J24" s="34">
        <f>MMap!O29</f>
        <v>5</v>
      </c>
      <c r="Q24" s="38" t="s">
        <v>871</v>
      </c>
    </row>
    <row r="25" spans="1:17">
      <c r="A25" s="32" t="str">
        <f t="shared" si="0"/>
        <v>Streetlight - MH 200W - Tariff Relamp - to LED 135W - NR</v>
      </c>
      <c r="B25" s="32" t="str">
        <f>MMap!F30</f>
        <v>Streetlight - MH 200W - Tariff Relamp - to LED 135W - NR</v>
      </c>
      <c r="C25" s="33">
        <f>MMap!G30</f>
        <v>408.5</v>
      </c>
      <c r="D25" s="63">
        <f>MMap!L30</f>
        <v>16.279069767441861</v>
      </c>
      <c r="E25" s="35">
        <f>MMap!H30</f>
        <v>162.01157721295672</v>
      </c>
      <c r="F25" s="35">
        <f>MMap!M30</f>
        <v>-56</v>
      </c>
      <c r="G25" s="36" t="s">
        <v>526</v>
      </c>
      <c r="I25" s="34">
        <f>MMap!N30</f>
        <v>0</v>
      </c>
      <c r="J25" s="34">
        <f>MMap!O30</f>
        <v>0</v>
      </c>
      <c r="Q25" s="38" t="s">
        <v>871</v>
      </c>
    </row>
    <row r="26" spans="1:17">
      <c r="A26" s="32" t="str">
        <f t="shared" si="0"/>
        <v>Streetlight - HPS 250W - Group Relamp - to LED 135W - NR</v>
      </c>
      <c r="B26" s="32" t="str">
        <f>MMap!F31</f>
        <v>Streetlight - HPS 250W - Group Relamp - to LED 135W - NR</v>
      </c>
      <c r="C26" s="33">
        <f>MMap!G31</f>
        <v>666.5</v>
      </c>
      <c r="D26" s="63">
        <f>MMap!L31</f>
        <v>16.279069767441861</v>
      </c>
      <c r="E26" s="35">
        <f>MMap!H31</f>
        <v>162.01157721295672</v>
      </c>
      <c r="F26" s="35">
        <f>MMap!M31</f>
        <v>0</v>
      </c>
      <c r="G26" s="36" t="s">
        <v>526</v>
      </c>
      <c r="I26" s="34">
        <f>MMap!N31</f>
        <v>-80</v>
      </c>
      <c r="J26" s="34">
        <f>MMap!O31</f>
        <v>5</v>
      </c>
      <c r="Q26" s="38" t="s">
        <v>871</v>
      </c>
    </row>
    <row r="27" spans="1:17">
      <c r="A27" s="32" t="str">
        <f t="shared" si="0"/>
        <v>Streetlight - HPS 250W - Tariff Relamp - to LED 135W - NR</v>
      </c>
      <c r="B27" s="32" t="str">
        <f>MMap!F32</f>
        <v>Streetlight - HPS 250W - Tariff Relamp - to LED 135W - NR</v>
      </c>
      <c r="C27" s="33">
        <f>MMap!G32</f>
        <v>666.5</v>
      </c>
      <c r="D27" s="63">
        <f>MMap!L32</f>
        <v>16.279069767441861</v>
      </c>
      <c r="E27" s="35">
        <f>MMap!H32</f>
        <v>162.01157721295672</v>
      </c>
      <c r="F27" s="35">
        <f>MMap!M32</f>
        <v>-56</v>
      </c>
      <c r="G27" s="36" t="s">
        <v>526</v>
      </c>
      <c r="I27" s="34">
        <f>MMap!N32</f>
        <v>0</v>
      </c>
      <c r="J27" s="34">
        <f>MMap!O32</f>
        <v>0</v>
      </c>
      <c r="Q27" s="38" t="s">
        <v>871</v>
      </c>
    </row>
    <row r="28" spans="1:17">
      <c r="A28" s="32" t="str">
        <f t="shared" si="0"/>
        <v>Streetlight - MH 400W - Group Relamp - to LED 180W - NR</v>
      </c>
      <c r="B28" s="32" t="str">
        <f>MMap!F33</f>
        <v>Streetlight - MH 400W - Group Relamp - to LED 180W - NR</v>
      </c>
      <c r="C28" s="33">
        <f>MMap!G33</f>
        <v>1195.4000000000001</v>
      </c>
      <c r="D28" s="63">
        <f>MMap!L33</f>
        <v>16.279069767441861</v>
      </c>
      <c r="E28" s="35">
        <f>MMap!H33</f>
        <v>324.02315442591345</v>
      </c>
      <c r="F28" s="35">
        <f>MMap!M33</f>
        <v>0</v>
      </c>
      <c r="G28" s="36" t="s">
        <v>526</v>
      </c>
      <c r="I28" s="34">
        <f>MMap!N33</f>
        <v>-83</v>
      </c>
      <c r="J28" s="34">
        <f>MMap!O33</f>
        <v>4</v>
      </c>
      <c r="Q28" s="38" t="s">
        <v>871</v>
      </c>
    </row>
    <row r="29" spans="1:17">
      <c r="A29" s="32" t="str">
        <f t="shared" si="0"/>
        <v>Streetlight - MH 400W - Tariff Relamp - to LED 180W - NR</v>
      </c>
      <c r="B29" s="32" t="str">
        <f>MMap!F34</f>
        <v>Streetlight - MH 400W - Tariff Relamp - to LED 180W - NR</v>
      </c>
      <c r="C29" s="33">
        <f>MMap!G34</f>
        <v>1195.4000000000001</v>
      </c>
      <c r="D29" s="63">
        <f>MMap!L34</f>
        <v>16.279069767441861</v>
      </c>
      <c r="E29" s="35">
        <f>MMap!H34</f>
        <v>324.02315442591345</v>
      </c>
      <c r="F29" s="35">
        <f>MMap!M34</f>
        <v>-56</v>
      </c>
      <c r="G29" s="36" t="s">
        <v>526</v>
      </c>
      <c r="I29" s="34">
        <f>MMap!N34</f>
        <v>0</v>
      </c>
      <c r="J29" s="34">
        <f>MMap!O34</f>
        <v>0</v>
      </c>
      <c r="Q29" s="38" t="s">
        <v>871</v>
      </c>
    </row>
    <row r="30" spans="1:17">
      <c r="A30" s="32" t="str">
        <f t="shared" si="0"/>
        <v>Streetlight - MH 1000W - Group Relamp - to LED 421W - NR</v>
      </c>
      <c r="B30" s="32" t="str">
        <f>MMap!F35</f>
        <v>Streetlight - MH 1000W - Group Relamp - to LED 421W - NR</v>
      </c>
      <c r="C30" s="33">
        <f>MMap!G35</f>
        <v>2919.7</v>
      </c>
      <c r="D30" s="63">
        <f>MMap!L35</f>
        <v>16.279069767441861</v>
      </c>
      <c r="E30" s="35">
        <f>MMap!H35</f>
        <v>972.0694632777404</v>
      </c>
      <c r="F30" s="35">
        <f>MMap!M35</f>
        <v>0</v>
      </c>
      <c r="G30" s="36" t="s">
        <v>526</v>
      </c>
      <c r="I30" s="34">
        <f>MMap!N35</f>
        <v>-85</v>
      </c>
      <c r="J30" s="34">
        <f>MMap!O35</f>
        <v>4</v>
      </c>
      <c r="Q30" s="38" t="s">
        <v>871</v>
      </c>
    </row>
    <row r="31" spans="1:17">
      <c r="A31" s="32" t="str">
        <f t="shared" si="0"/>
        <v>Streetlight - MH 1000W - Tariff Relamp - to LED 421W - NR</v>
      </c>
      <c r="B31" s="32" t="str">
        <f>MMap!F36</f>
        <v>Streetlight - MH 1000W - Tariff Relamp - to LED 421W - NR</v>
      </c>
      <c r="C31" s="33">
        <f>MMap!G36</f>
        <v>2919.7</v>
      </c>
      <c r="D31" s="63">
        <f>MMap!L36</f>
        <v>16.279069767441861</v>
      </c>
      <c r="E31" s="35">
        <f>MMap!H36</f>
        <v>972.0694632777404</v>
      </c>
      <c r="F31" s="35">
        <f>MMap!M36</f>
        <v>-56</v>
      </c>
      <c r="G31" s="36" t="s">
        <v>526</v>
      </c>
      <c r="I31" s="34">
        <f>MMap!N36</f>
        <v>0</v>
      </c>
      <c r="J31" s="34">
        <f>MMap!O36</f>
        <v>0</v>
      </c>
      <c r="Q31" s="38" t="s">
        <v>871</v>
      </c>
    </row>
    <row r="34" spans="1:13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row>
    <row r="35" spans="1:131">
      <c r="A35" s="366" t="s">
        <v>535</v>
      </c>
      <c r="B35" s="367"/>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row>
    <row r="36" spans="1:131">
      <c r="A36" s="11" t="s">
        <v>536</v>
      </c>
      <c r="B36" s="11" t="s">
        <v>537</v>
      </c>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row>
    <row r="37" spans="1:131">
      <c r="A37" s="11" t="s">
        <v>538</v>
      </c>
      <c r="B37" s="11" t="s">
        <v>1008</v>
      </c>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row>
    <row r="38" spans="1:13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row>
    <row r="39" spans="1:131" ht="13.5" thickBot="1">
      <c r="A39" s="368" t="s">
        <v>539</v>
      </c>
      <c r="B39" s="369"/>
      <c r="C39" s="369"/>
      <c r="D39" s="369"/>
      <c r="E39" s="369"/>
      <c r="F39" s="369"/>
      <c r="G39" s="369"/>
      <c r="H39" s="369"/>
      <c r="I39" s="369"/>
      <c r="J39" s="369"/>
      <c r="K39" s="369"/>
      <c r="L39" s="369"/>
      <c r="M39" s="369"/>
      <c r="N39" s="369"/>
      <c r="O39" s="369"/>
      <c r="P39" s="369"/>
      <c r="Q39" s="369"/>
      <c r="R39" s="369"/>
      <c r="S39" s="369"/>
      <c r="T39" s="369"/>
      <c r="U39" s="369"/>
      <c r="V39" s="369"/>
      <c r="W39" s="369"/>
      <c r="X39" s="369"/>
      <c r="Y39" s="369"/>
      <c r="Z39" s="369"/>
      <c r="AA39" s="369"/>
      <c r="AB39" s="369"/>
      <c r="AC39" s="369"/>
      <c r="AD39" s="369"/>
      <c r="AE39" s="369"/>
      <c r="AF39" s="369"/>
      <c r="AG39" s="369"/>
      <c r="AH39" s="369"/>
      <c r="AI39" s="370"/>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row>
    <row r="40" spans="1:131">
      <c r="A40" s="11"/>
      <c r="B40" s="150" t="s">
        <v>540</v>
      </c>
      <c r="C40" s="151"/>
      <c r="D40" s="151" t="s">
        <v>540</v>
      </c>
      <c r="E40" s="152"/>
      <c r="F40" s="11"/>
      <c r="G40" s="150" t="s">
        <v>541</v>
      </c>
      <c r="H40" s="151"/>
      <c r="I40" s="151"/>
      <c r="J40" s="151"/>
      <c r="K40" s="151"/>
      <c r="L40" s="151"/>
      <c r="M40" s="151"/>
      <c r="N40" s="151"/>
      <c r="O40" s="152"/>
      <c r="P40" s="11"/>
      <c r="Q40" s="150" t="s">
        <v>542</v>
      </c>
      <c r="R40" s="151"/>
      <c r="S40" s="151"/>
      <c r="T40" s="151"/>
      <c r="U40" s="152"/>
      <c r="V40" s="11"/>
      <c r="W40" s="150" t="s">
        <v>543</v>
      </c>
      <c r="X40" s="152"/>
      <c r="Y40" s="11"/>
      <c r="Z40" s="150" t="s">
        <v>544</v>
      </c>
      <c r="AA40" s="151"/>
      <c r="AB40" s="152"/>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row>
    <row r="41" spans="1:131">
      <c r="A41" s="11"/>
      <c r="B41" s="148" t="s">
        <v>545</v>
      </c>
      <c r="C41" s="115" t="s">
        <v>546</v>
      </c>
      <c r="D41" s="115" t="s">
        <v>545</v>
      </c>
      <c r="E41" s="149" t="s">
        <v>546</v>
      </c>
      <c r="F41" s="11"/>
      <c r="G41" s="148" t="s">
        <v>547</v>
      </c>
      <c r="H41" s="115" t="s">
        <v>1002</v>
      </c>
      <c r="I41" s="115"/>
      <c r="J41" s="115"/>
      <c r="K41" s="115" t="s">
        <v>548</v>
      </c>
      <c r="L41" s="115"/>
      <c r="M41" s="115"/>
      <c r="N41" s="115"/>
      <c r="O41" s="149"/>
      <c r="P41" s="11"/>
      <c r="Q41" s="148"/>
      <c r="R41" s="115" t="s">
        <v>327</v>
      </c>
      <c r="S41" s="115" t="s">
        <v>549</v>
      </c>
      <c r="T41" s="115" t="s">
        <v>550</v>
      </c>
      <c r="U41" s="149" t="s">
        <v>551</v>
      </c>
      <c r="V41" s="11"/>
      <c r="W41" s="148" t="s">
        <v>552</v>
      </c>
      <c r="X41" s="149">
        <v>20</v>
      </c>
      <c r="Y41" s="11"/>
      <c r="Z41" s="148"/>
      <c r="AA41" s="115" t="s">
        <v>546</v>
      </c>
      <c r="AB41" s="149" t="s">
        <v>553</v>
      </c>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row>
    <row r="42" spans="1:131">
      <c r="A42" s="11"/>
      <c r="B42" s="148" t="s">
        <v>554</v>
      </c>
      <c r="C42" s="115" t="s">
        <v>555</v>
      </c>
      <c r="D42" s="115" t="s">
        <v>554</v>
      </c>
      <c r="E42" s="149" t="s">
        <v>555</v>
      </c>
      <c r="F42" s="11"/>
      <c r="G42" s="148" t="s">
        <v>556</v>
      </c>
      <c r="H42" s="115" t="s">
        <v>557</v>
      </c>
      <c r="I42" s="115"/>
      <c r="J42" s="115"/>
      <c r="K42" s="115" t="s">
        <v>558</v>
      </c>
      <c r="L42" s="115"/>
      <c r="M42" s="115"/>
      <c r="N42" s="115"/>
      <c r="O42" s="149"/>
      <c r="P42" s="11"/>
      <c r="Q42" s="148" t="s">
        <v>559</v>
      </c>
      <c r="R42" s="115">
        <v>6.8012888465852586E-2</v>
      </c>
      <c r="S42" s="115">
        <v>4.387844424080023E-2</v>
      </c>
      <c r="T42" s="115">
        <v>5.3289007766645871E-2</v>
      </c>
      <c r="U42" s="149">
        <v>5.447903102274565E-2</v>
      </c>
      <c r="V42" s="11"/>
      <c r="W42" s="148" t="s">
        <v>560</v>
      </c>
      <c r="X42" s="149">
        <v>2016</v>
      </c>
      <c r="Y42" s="11"/>
      <c r="Z42" s="148" t="s">
        <v>561</v>
      </c>
      <c r="AA42" s="115">
        <v>0.03</v>
      </c>
      <c r="AB42" s="149">
        <v>0.01</v>
      </c>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row>
    <row r="43" spans="1:131">
      <c r="A43" s="11"/>
      <c r="B43" s="148" t="s">
        <v>562</v>
      </c>
      <c r="C43" s="115" t="s">
        <v>563</v>
      </c>
      <c r="D43" s="115" t="s">
        <v>562</v>
      </c>
      <c r="E43" s="149" t="s">
        <v>563</v>
      </c>
      <c r="F43" s="11"/>
      <c r="G43" s="148" t="s">
        <v>564</v>
      </c>
      <c r="H43" s="115" t="s">
        <v>565</v>
      </c>
      <c r="I43" s="115"/>
      <c r="J43" s="115"/>
      <c r="K43" s="115" t="s">
        <v>566</v>
      </c>
      <c r="L43" s="115"/>
      <c r="M43" s="115"/>
      <c r="N43" s="115"/>
      <c r="O43" s="149"/>
      <c r="P43" s="11"/>
      <c r="Q43" s="148" t="s">
        <v>567</v>
      </c>
      <c r="R43" s="115">
        <v>12</v>
      </c>
      <c r="S43" s="115">
        <v>12</v>
      </c>
      <c r="T43" s="115">
        <v>1</v>
      </c>
      <c r="U43" s="149">
        <v>1</v>
      </c>
      <c r="V43" s="11"/>
      <c r="W43" s="148" t="s">
        <v>568</v>
      </c>
      <c r="X43" s="149">
        <v>2016</v>
      </c>
      <c r="Y43" s="11"/>
      <c r="Z43" s="148" t="s">
        <v>569</v>
      </c>
      <c r="AA43" s="115">
        <v>26</v>
      </c>
      <c r="AB43" s="149">
        <v>0</v>
      </c>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row>
    <row r="44" spans="1:131" ht="13.5" thickBot="1">
      <c r="A44" s="11"/>
      <c r="B44" s="163" t="s">
        <v>570</v>
      </c>
      <c r="C44" s="371" t="s">
        <v>563</v>
      </c>
      <c r="D44" s="371" t="s">
        <v>570</v>
      </c>
      <c r="E44" s="372" t="s">
        <v>563</v>
      </c>
      <c r="F44" s="11"/>
      <c r="G44" s="148" t="s">
        <v>571</v>
      </c>
      <c r="H44" s="115" t="s">
        <v>572</v>
      </c>
      <c r="I44" s="115"/>
      <c r="J44" s="115"/>
      <c r="K44" s="115" t="s">
        <v>558</v>
      </c>
      <c r="L44" s="115"/>
      <c r="M44" s="115"/>
      <c r="N44" s="115"/>
      <c r="O44" s="149"/>
      <c r="P44" s="11"/>
      <c r="Q44" s="148"/>
      <c r="R44" s="115" t="s">
        <v>327</v>
      </c>
      <c r="S44" s="115" t="s">
        <v>549</v>
      </c>
      <c r="T44" s="115" t="s">
        <v>550</v>
      </c>
      <c r="U44" s="149" t="s">
        <v>551</v>
      </c>
      <c r="V44" s="11"/>
      <c r="W44" s="148" t="s">
        <v>573</v>
      </c>
      <c r="X44" s="149">
        <v>2012</v>
      </c>
      <c r="Y44" s="11"/>
      <c r="Z44" s="148" t="s">
        <v>574</v>
      </c>
      <c r="AA44" s="115">
        <v>0.9</v>
      </c>
      <c r="AB44" s="149" t="s">
        <v>575</v>
      </c>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row>
    <row r="45" spans="1:131">
      <c r="A45" s="11"/>
      <c r="B45" s="11"/>
      <c r="C45" s="11"/>
      <c r="D45" s="11"/>
      <c r="E45" s="11"/>
      <c r="F45" s="11"/>
      <c r="G45" s="148" t="s">
        <v>576</v>
      </c>
      <c r="H45" s="115" t="s">
        <v>565</v>
      </c>
      <c r="I45" s="115"/>
      <c r="J45" s="115"/>
      <c r="K45" s="115"/>
      <c r="L45" s="115"/>
      <c r="M45" s="115"/>
      <c r="N45" s="115"/>
      <c r="O45" s="149"/>
      <c r="P45" s="11"/>
      <c r="Q45" s="148" t="s">
        <v>577</v>
      </c>
      <c r="R45" s="115">
        <v>0.35</v>
      </c>
      <c r="S45" s="115">
        <v>0.19500000000000001</v>
      </c>
      <c r="T45" s="115">
        <v>4.8749999999999988E-2</v>
      </c>
      <c r="U45" s="149">
        <v>0.40625</v>
      </c>
      <c r="V45" s="11"/>
      <c r="W45" s="148" t="s">
        <v>578</v>
      </c>
      <c r="X45" s="149">
        <v>0.04</v>
      </c>
      <c r="Y45" s="11"/>
      <c r="Z45" s="148" t="s">
        <v>579</v>
      </c>
      <c r="AA45" s="115">
        <v>5.5E-2</v>
      </c>
      <c r="AB45" s="149">
        <v>0</v>
      </c>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row>
    <row r="46" spans="1:131">
      <c r="A46" s="11"/>
      <c r="B46" s="11" t="s">
        <v>580</v>
      </c>
      <c r="C46" s="11" t="s">
        <v>546</v>
      </c>
      <c r="D46" s="11"/>
      <c r="E46" s="11"/>
      <c r="F46" s="11"/>
      <c r="G46" s="148" t="s">
        <v>581</v>
      </c>
      <c r="H46" s="115" t="s">
        <v>582</v>
      </c>
      <c r="I46" s="115"/>
      <c r="J46" s="115"/>
      <c r="K46" s="115" t="s">
        <v>583</v>
      </c>
      <c r="L46" s="115"/>
      <c r="M46" s="115"/>
      <c r="N46" s="115"/>
      <c r="O46" s="149"/>
      <c r="P46" s="11"/>
      <c r="Q46" s="148" t="s">
        <v>584</v>
      </c>
      <c r="R46" s="115">
        <v>1</v>
      </c>
      <c r="S46" s="115">
        <v>0</v>
      </c>
      <c r="T46" s="115">
        <v>0</v>
      </c>
      <c r="U46" s="149">
        <v>0</v>
      </c>
      <c r="V46" s="11"/>
      <c r="W46" s="148" t="s">
        <v>585</v>
      </c>
      <c r="X46" s="149">
        <v>0</v>
      </c>
      <c r="Y46" s="11"/>
      <c r="Z46" s="148" t="s">
        <v>586</v>
      </c>
      <c r="AA46" s="115">
        <v>31</v>
      </c>
      <c r="AB46" s="149">
        <v>0</v>
      </c>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row>
    <row r="47" spans="1:131">
      <c r="A47" s="11"/>
      <c r="B47" s="11" t="s">
        <v>587</v>
      </c>
      <c r="C47" s="11" t="s">
        <v>588</v>
      </c>
      <c r="D47" s="11"/>
      <c r="E47" s="11"/>
      <c r="F47" s="11"/>
      <c r="G47" s="148" t="s">
        <v>589</v>
      </c>
      <c r="H47" s="115" t="s">
        <v>583</v>
      </c>
      <c r="I47" s="115"/>
      <c r="J47" s="115"/>
      <c r="K47" s="115" t="s">
        <v>590</v>
      </c>
      <c r="L47" s="115"/>
      <c r="M47" s="115"/>
      <c r="N47" s="115"/>
      <c r="O47" s="149"/>
      <c r="P47" s="11"/>
      <c r="Q47" s="148" t="s">
        <v>591</v>
      </c>
      <c r="R47" s="115">
        <v>1</v>
      </c>
      <c r="S47" s="115">
        <v>0</v>
      </c>
      <c r="T47" s="115">
        <v>0</v>
      </c>
      <c r="U47" s="149">
        <v>0</v>
      </c>
      <c r="V47" s="11"/>
      <c r="W47" s="148" t="s">
        <v>592</v>
      </c>
      <c r="X47" s="149">
        <v>0.2</v>
      </c>
      <c r="Y47" s="11"/>
      <c r="Z47" s="148" t="s">
        <v>593</v>
      </c>
      <c r="AA47" s="115">
        <v>0.7</v>
      </c>
      <c r="AB47" s="149" t="s">
        <v>575</v>
      </c>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row>
    <row r="48" spans="1:131">
      <c r="A48" s="11"/>
      <c r="B48" s="11" t="s">
        <v>594</v>
      </c>
      <c r="C48" s="11" t="s">
        <v>595</v>
      </c>
      <c r="D48" s="11"/>
      <c r="E48" s="11"/>
      <c r="F48" s="11"/>
      <c r="G48" s="148" t="s">
        <v>596</v>
      </c>
      <c r="H48" s="115" t="s">
        <v>590</v>
      </c>
      <c r="I48" s="115"/>
      <c r="J48" s="115"/>
      <c r="K48" s="115" t="s">
        <v>597</v>
      </c>
      <c r="L48" s="115"/>
      <c r="M48" s="115"/>
      <c r="N48" s="115"/>
      <c r="O48" s="149"/>
      <c r="P48" s="11"/>
      <c r="Q48" s="148" t="s">
        <v>598</v>
      </c>
      <c r="R48" s="115"/>
      <c r="S48" s="115">
        <v>0.3</v>
      </c>
      <c r="T48" s="115">
        <v>7.4999999999999983E-2</v>
      </c>
      <c r="U48" s="149">
        <v>0.625</v>
      </c>
      <c r="V48" s="11"/>
      <c r="W48" s="148" t="s">
        <v>599</v>
      </c>
      <c r="X48" s="149">
        <v>0.1</v>
      </c>
      <c r="Y48" s="11"/>
      <c r="Z48" s="148" t="s">
        <v>600</v>
      </c>
      <c r="AA48" s="115">
        <v>0</v>
      </c>
      <c r="AB48" s="149">
        <v>0</v>
      </c>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row>
    <row r="49" spans="1:131" ht="13.5" thickBot="1">
      <c r="A49" s="11"/>
      <c r="B49" s="11" t="s">
        <v>601</v>
      </c>
      <c r="C49" s="11" t="s">
        <v>602</v>
      </c>
      <c r="D49" s="11"/>
      <c r="E49" s="11"/>
      <c r="F49" s="11"/>
      <c r="G49" s="163" t="s">
        <v>603</v>
      </c>
      <c r="H49" s="371" t="s">
        <v>597</v>
      </c>
      <c r="I49" s="371"/>
      <c r="J49" s="371"/>
      <c r="K49" s="371"/>
      <c r="L49" s="371"/>
      <c r="M49" s="371"/>
      <c r="N49" s="371"/>
      <c r="O49" s="372"/>
      <c r="P49" s="11"/>
      <c r="Q49" s="163" t="s">
        <v>604</v>
      </c>
      <c r="R49" s="371"/>
      <c r="S49" s="371">
        <v>20</v>
      </c>
      <c r="T49" s="371"/>
      <c r="U49" s="372"/>
      <c r="V49" s="11"/>
      <c r="W49" s="163" t="s">
        <v>605</v>
      </c>
      <c r="X49" s="372">
        <v>2018</v>
      </c>
      <c r="Y49" s="11"/>
      <c r="Z49" s="163" t="s">
        <v>606</v>
      </c>
      <c r="AA49" s="371">
        <v>0</v>
      </c>
      <c r="AB49" s="372">
        <v>0</v>
      </c>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row>
    <row r="50" spans="1:13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row>
    <row r="51" spans="1:13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row>
    <row r="52" spans="1:13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row>
    <row r="53" spans="1:13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row>
    <row r="54" spans="1:13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row>
    <row r="55" spans="1:13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row>
    <row r="56" spans="1:13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row>
    <row r="57" spans="1:131" ht="13.5" thickBot="1">
      <c r="A57" s="368" t="s">
        <v>607</v>
      </c>
      <c r="B57" s="370"/>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row>
    <row r="58" spans="1:131" ht="26.25" thickBot="1">
      <c r="A58" s="373" t="s">
        <v>291</v>
      </c>
      <c r="B58" s="374"/>
      <c r="C58" s="375" t="s">
        <v>292</v>
      </c>
      <c r="D58" s="376"/>
      <c r="E58" s="376"/>
      <c r="F58" s="376"/>
      <c r="G58" s="376"/>
      <c r="H58" s="376"/>
      <c r="I58" s="376"/>
      <c r="J58" s="376"/>
      <c r="K58" s="377"/>
      <c r="L58" s="375" t="s">
        <v>102</v>
      </c>
      <c r="M58" s="376"/>
      <c r="N58" s="376"/>
      <c r="O58" s="376"/>
      <c r="P58" s="376"/>
      <c r="Q58" s="377"/>
      <c r="R58" s="375" t="s">
        <v>293</v>
      </c>
      <c r="S58" s="376"/>
      <c r="T58" s="376"/>
      <c r="U58" s="377"/>
      <c r="V58" s="375" t="s">
        <v>294</v>
      </c>
      <c r="W58" s="376"/>
      <c r="X58" s="376"/>
      <c r="Y58" s="377"/>
      <c r="Z58" s="375" t="s">
        <v>295</v>
      </c>
      <c r="AA58" s="376"/>
      <c r="AB58" s="376"/>
      <c r="AC58" s="377"/>
      <c r="AD58" s="375" t="s">
        <v>296</v>
      </c>
      <c r="AE58" s="376"/>
      <c r="AF58" s="376"/>
      <c r="AG58" s="377"/>
      <c r="AH58" s="375" t="s">
        <v>297</v>
      </c>
      <c r="AI58" s="376"/>
      <c r="AJ58" s="376"/>
      <c r="AK58" s="376"/>
      <c r="AL58" s="377"/>
      <c r="AM58" s="375" t="s">
        <v>298</v>
      </c>
      <c r="AN58" s="376"/>
      <c r="AO58" s="376"/>
      <c r="AP58" s="376"/>
      <c r="AQ58" s="376"/>
      <c r="AR58" s="376"/>
      <c r="AS58" s="377"/>
      <c r="AT58" s="375" t="s">
        <v>299</v>
      </c>
      <c r="AU58" s="376"/>
      <c r="AV58" s="376"/>
      <c r="AW58" s="376"/>
      <c r="AX58" s="376"/>
      <c r="AY58" s="376"/>
      <c r="AZ58" s="377"/>
      <c r="BA58" s="375" t="s">
        <v>300</v>
      </c>
      <c r="BB58" s="376"/>
      <c r="BC58" s="376"/>
      <c r="BD58" s="376"/>
      <c r="BE58" s="376"/>
      <c r="BF58" s="377"/>
      <c r="BG58" s="375" t="s">
        <v>301</v>
      </c>
      <c r="BH58" s="377"/>
      <c r="BI58" s="375" t="s">
        <v>302</v>
      </c>
      <c r="BJ58" s="376"/>
      <c r="BK58" s="376"/>
      <c r="BL58" s="376"/>
      <c r="BM58" s="377"/>
      <c r="BN58" s="375" t="s">
        <v>303</v>
      </c>
      <c r="BO58" s="376"/>
      <c r="BP58" s="376"/>
      <c r="BQ58" s="376"/>
      <c r="BR58" s="376"/>
      <c r="BS58" s="376"/>
      <c r="BT58" s="376"/>
      <c r="BU58" s="376"/>
      <c r="BV58" s="376"/>
      <c r="BW58" s="376"/>
      <c r="BX58" s="376"/>
      <c r="BY58" s="376"/>
      <c r="BZ58" s="376"/>
      <c r="CA58" s="376"/>
      <c r="CB58" s="376"/>
      <c r="CC58" s="377"/>
      <c r="CD58" s="375" t="s">
        <v>304</v>
      </c>
      <c r="CE58" s="377"/>
      <c r="CF58" s="375" t="s">
        <v>305</v>
      </c>
      <c r="CG58" s="376"/>
      <c r="CH58" s="376"/>
      <c r="CI58" s="376"/>
      <c r="CJ58" s="376"/>
      <c r="CK58" s="377"/>
      <c r="CL58" s="378"/>
      <c r="CM58" s="375" t="s">
        <v>15</v>
      </c>
      <c r="CN58" s="376"/>
      <c r="CO58" s="376"/>
      <c r="CP58" s="377"/>
      <c r="CQ58" s="375" t="s">
        <v>306</v>
      </c>
      <c r="CR58" s="376"/>
      <c r="CS58" s="376"/>
      <c r="CT58" s="376"/>
      <c r="CU58" s="377"/>
      <c r="CV58" s="375" t="s">
        <v>307</v>
      </c>
      <c r="CW58" s="377"/>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row>
    <row r="59" spans="1:131" ht="127.5">
      <c r="A59" s="379" t="s">
        <v>308</v>
      </c>
      <c r="B59" s="380" t="s">
        <v>309</v>
      </c>
      <c r="C59" s="381" t="s">
        <v>8</v>
      </c>
      <c r="D59" s="381" t="s">
        <v>310</v>
      </c>
      <c r="E59" s="381" t="s">
        <v>311</v>
      </c>
      <c r="F59" s="381" t="s">
        <v>312</v>
      </c>
      <c r="G59" s="381" t="s">
        <v>313</v>
      </c>
      <c r="H59" s="381" t="s">
        <v>314</v>
      </c>
      <c r="I59" s="381" t="s">
        <v>315</v>
      </c>
      <c r="J59" s="381" t="s">
        <v>316</v>
      </c>
      <c r="K59" s="381" t="s">
        <v>317</v>
      </c>
      <c r="L59" s="381" t="s">
        <v>318</v>
      </c>
      <c r="M59" s="381" t="s">
        <v>319</v>
      </c>
      <c r="N59" s="381" t="s">
        <v>320</v>
      </c>
      <c r="O59" s="381" t="s">
        <v>321</v>
      </c>
      <c r="P59" s="381" t="s">
        <v>322</v>
      </c>
      <c r="Q59" s="381" t="s">
        <v>323</v>
      </c>
      <c r="R59" s="381" t="s">
        <v>324</v>
      </c>
      <c r="S59" s="381" t="s">
        <v>325</v>
      </c>
      <c r="T59" s="381" t="s">
        <v>326</v>
      </c>
      <c r="U59" s="381" t="s">
        <v>327</v>
      </c>
      <c r="V59" s="381" t="s">
        <v>324</v>
      </c>
      <c r="W59" s="381" t="s">
        <v>325</v>
      </c>
      <c r="X59" s="381" t="s">
        <v>326</v>
      </c>
      <c r="Y59" s="381" t="s">
        <v>327</v>
      </c>
      <c r="Z59" s="381" t="s">
        <v>324</v>
      </c>
      <c r="AA59" s="381" t="s">
        <v>325</v>
      </c>
      <c r="AB59" s="381" t="s">
        <v>326</v>
      </c>
      <c r="AC59" s="381" t="s">
        <v>327</v>
      </c>
      <c r="AD59" s="381" t="s">
        <v>324</v>
      </c>
      <c r="AE59" s="381" t="s">
        <v>325</v>
      </c>
      <c r="AF59" s="381" t="s">
        <v>326</v>
      </c>
      <c r="AG59" s="381" t="s">
        <v>327</v>
      </c>
      <c r="AH59" s="381" t="s">
        <v>324</v>
      </c>
      <c r="AI59" s="381" t="s">
        <v>325</v>
      </c>
      <c r="AJ59" s="381" t="s">
        <v>326</v>
      </c>
      <c r="AK59" s="381" t="s">
        <v>327</v>
      </c>
      <c r="AL59" s="381" t="s">
        <v>156</v>
      </c>
      <c r="AM59" s="381" t="s">
        <v>328</v>
      </c>
      <c r="AN59" s="381" t="s">
        <v>329</v>
      </c>
      <c r="AO59" s="381" t="s">
        <v>330</v>
      </c>
      <c r="AP59" s="381" t="s">
        <v>331</v>
      </c>
      <c r="AQ59" s="381" t="s">
        <v>332</v>
      </c>
      <c r="AR59" s="381" t="s">
        <v>333</v>
      </c>
      <c r="AS59" s="381" t="s">
        <v>334</v>
      </c>
      <c r="AT59" s="381" t="s">
        <v>335</v>
      </c>
      <c r="AU59" s="381" t="s">
        <v>336</v>
      </c>
      <c r="AV59" s="381" t="s">
        <v>337</v>
      </c>
      <c r="AW59" s="381" t="s">
        <v>338</v>
      </c>
      <c r="AX59" s="381" t="s">
        <v>339</v>
      </c>
      <c r="AY59" s="381" t="s">
        <v>340</v>
      </c>
      <c r="AZ59" s="381" t="s">
        <v>341</v>
      </c>
      <c r="BA59" s="381" t="s">
        <v>342</v>
      </c>
      <c r="BB59" s="381" t="s">
        <v>343</v>
      </c>
      <c r="BC59" s="381" t="s">
        <v>344</v>
      </c>
      <c r="BD59" s="381" t="s">
        <v>345</v>
      </c>
      <c r="BE59" s="381" t="s">
        <v>346</v>
      </c>
      <c r="BF59" s="381" t="s">
        <v>347</v>
      </c>
      <c r="BG59" s="381" t="s">
        <v>348</v>
      </c>
      <c r="BH59" s="381" t="s">
        <v>349</v>
      </c>
      <c r="BI59" s="381" t="s">
        <v>350</v>
      </c>
      <c r="BJ59" s="381" t="s">
        <v>351</v>
      </c>
      <c r="BK59" s="381" t="s">
        <v>352</v>
      </c>
      <c r="BL59" s="381" t="s">
        <v>353</v>
      </c>
      <c r="BM59" s="381" t="s">
        <v>354</v>
      </c>
      <c r="BN59" s="381" t="s">
        <v>355</v>
      </c>
      <c r="BO59" s="381" t="s">
        <v>356</v>
      </c>
      <c r="BP59" s="381" t="s">
        <v>357</v>
      </c>
      <c r="BQ59" s="381" t="s">
        <v>358</v>
      </c>
      <c r="BR59" s="381" t="s">
        <v>359</v>
      </c>
      <c r="BS59" s="381" t="s">
        <v>360</v>
      </c>
      <c r="BT59" s="381" t="s">
        <v>361</v>
      </c>
      <c r="BU59" s="381" t="s">
        <v>362</v>
      </c>
      <c r="BV59" s="381" t="s">
        <v>363</v>
      </c>
      <c r="BW59" s="381" t="s">
        <v>364</v>
      </c>
      <c r="BX59" s="381" t="s">
        <v>365</v>
      </c>
      <c r="BY59" s="381" t="s">
        <v>366</v>
      </c>
      <c r="BZ59" s="381" t="s">
        <v>367</v>
      </c>
      <c r="CA59" s="381" t="s">
        <v>368</v>
      </c>
      <c r="CB59" s="381" t="s">
        <v>369</v>
      </c>
      <c r="CC59" s="381" t="s">
        <v>370</v>
      </c>
      <c r="CD59" s="381" t="s">
        <v>371</v>
      </c>
      <c r="CE59" s="381" t="s">
        <v>372</v>
      </c>
      <c r="CF59" s="381" t="s">
        <v>373</v>
      </c>
      <c r="CG59" s="381" t="s">
        <v>374</v>
      </c>
      <c r="CH59" s="381" t="s">
        <v>375</v>
      </c>
      <c r="CI59" s="381" t="s">
        <v>608</v>
      </c>
      <c r="CJ59" s="381" t="s">
        <v>609</v>
      </c>
      <c r="CK59" s="381" t="s">
        <v>610</v>
      </c>
      <c r="CL59" s="381"/>
      <c r="CM59" s="381" t="s">
        <v>376</v>
      </c>
      <c r="CN59" s="381" t="s">
        <v>377</v>
      </c>
      <c r="CO59" s="381" t="s">
        <v>378</v>
      </c>
      <c r="CP59" s="381" t="s">
        <v>379</v>
      </c>
      <c r="CQ59" s="381" t="s">
        <v>380</v>
      </c>
      <c r="CR59" s="381" t="s">
        <v>381</v>
      </c>
      <c r="CS59" s="381" t="s">
        <v>382</v>
      </c>
      <c r="CT59" s="381" t="s">
        <v>383</v>
      </c>
      <c r="CU59" s="381" t="s">
        <v>384</v>
      </c>
      <c r="CV59" s="381" t="s">
        <v>385</v>
      </c>
      <c r="CW59" s="382" t="s">
        <v>386</v>
      </c>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row>
    <row r="60" spans="1:131">
      <c r="A60" s="11" t="s">
        <v>527</v>
      </c>
      <c r="B60" s="11" t="s">
        <v>527</v>
      </c>
      <c r="C60" s="32">
        <v>16.279069767441861</v>
      </c>
      <c r="D60" s="32">
        <v>339.69999999999993</v>
      </c>
      <c r="E60" s="32">
        <v>0</v>
      </c>
      <c r="F60" s="32">
        <v>-8.5918959509302795</v>
      </c>
      <c r="G60" s="32">
        <v>0</v>
      </c>
      <c r="H60" s="32">
        <v>-151.98287973940262</v>
      </c>
      <c r="I60" s="32" t="s">
        <v>526</v>
      </c>
      <c r="J60" s="32"/>
      <c r="K60" s="32"/>
      <c r="L60" s="32">
        <v>384.34978736406504</v>
      </c>
      <c r="M60" s="32">
        <v>8.9839054793938777E-2</v>
      </c>
      <c r="N60" s="32">
        <v>8.523629487090964E-2</v>
      </c>
      <c r="O60" s="32">
        <v>0</v>
      </c>
      <c r="P60" s="32">
        <v>0</v>
      </c>
      <c r="Q60" s="32">
        <v>0</v>
      </c>
      <c r="R60" s="32">
        <v>-1.713338827476222</v>
      </c>
      <c r="S60" s="32">
        <v>-0.42420701067138822</v>
      </c>
      <c r="T60" s="32">
        <v>-3.5390523894473516</v>
      </c>
      <c r="U60" s="32">
        <v>-5.0421296012461596</v>
      </c>
      <c r="V60" s="32" t="s">
        <v>611</v>
      </c>
      <c r="W60" s="32" t="s">
        <v>611</v>
      </c>
      <c r="X60" s="32" t="s">
        <v>611</v>
      </c>
      <c r="Y60" s="32" t="s">
        <v>611</v>
      </c>
      <c r="Z60" s="32">
        <v>0</v>
      </c>
      <c r="AA60" s="32">
        <v>0</v>
      </c>
      <c r="AB60" s="32">
        <v>0</v>
      </c>
      <c r="AC60" s="32">
        <v>0</v>
      </c>
      <c r="AD60" s="32">
        <v>0</v>
      </c>
      <c r="AE60" s="32">
        <v>0</v>
      </c>
      <c r="AF60" s="32">
        <v>0</v>
      </c>
      <c r="AG60" s="32">
        <v>-151.98287973940262</v>
      </c>
      <c r="AH60" s="32">
        <v>-1.713338827476222</v>
      </c>
      <c r="AI60" s="32">
        <v>-0.42420701067138822</v>
      </c>
      <c r="AJ60" s="32">
        <v>-3.5390523894473516</v>
      </c>
      <c r="AK60" s="32">
        <v>-157.02500934064878</v>
      </c>
      <c r="AL60" s="32">
        <v>-162.70160756824373</v>
      </c>
      <c r="AM60" s="32">
        <v>184.34270770993186</v>
      </c>
      <c r="AN60" s="32">
        <v>31.744493902499592</v>
      </c>
      <c r="AO60" s="32">
        <v>21.608720161243145</v>
      </c>
      <c r="AP60" s="32">
        <v>0</v>
      </c>
      <c r="AQ60" s="32">
        <v>237.6959217736746</v>
      </c>
      <c r="AR60" s="32">
        <v>-1.713338827476222</v>
      </c>
      <c r="AS60" s="383">
        <v>9999</v>
      </c>
      <c r="AT60" s="32">
        <v>184.34270770993186</v>
      </c>
      <c r="AU60" s="32">
        <v>35.910060975678277</v>
      </c>
      <c r="AV60" s="32">
        <v>22.025276868561015</v>
      </c>
      <c r="AW60" s="32">
        <v>0</v>
      </c>
      <c r="AX60" s="32">
        <v>242.27804555417114</v>
      </c>
      <c r="AY60" s="32">
        <v>-0.42420701067138822</v>
      </c>
      <c r="AZ60" s="383">
        <v>9999</v>
      </c>
      <c r="BA60" s="32">
        <v>184.34270770993186</v>
      </c>
      <c r="BB60" s="32">
        <v>67.654554878177862</v>
      </c>
      <c r="BC60" s="32">
        <v>25.199726258810973</v>
      </c>
      <c r="BD60" s="32">
        <v>0</v>
      </c>
      <c r="BE60" s="32">
        <v>277.1969888469207</v>
      </c>
      <c r="BF60" s="32">
        <v>-2.1375458381476102</v>
      </c>
      <c r="BG60" s="32">
        <v>-18.185686906921656</v>
      </c>
      <c r="BH60" s="383">
        <v>9999</v>
      </c>
      <c r="BI60" s="32">
        <v>-0.32800972961716296</v>
      </c>
      <c r="BJ60" s="32">
        <v>-8.1212206622894662E-2</v>
      </c>
      <c r="BK60" s="32">
        <v>-0.67753301258779219</v>
      </c>
      <c r="BL60" s="32">
        <v>-30.061614218378235</v>
      </c>
      <c r="BM60" s="32">
        <v>-31.148369167206084</v>
      </c>
      <c r="BN60" s="32">
        <v>184.34270770993186</v>
      </c>
      <c r="BO60" s="32">
        <v>0</v>
      </c>
      <c r="BP60" s="32">
        <v>67.654554878177862</v>
      </c>
      <c r="BQ60" s="32">
        <v>0</v>
      </c>
      <c r="BR60" s="32">
        <v>0</v>
      </c>
      <c r="BS60" s="32">
        <v>0</v>
      </c>
      <c r="BT60" s="32">
        <v>0</v>
      </c>
      <c r="BU60" s="32">
        <v>0</v>
      </c>
      <c r="BV60" s="32">
        <v>0</v>
      </c>
      <c r="BW60" s="32">
        <v>25.199726258810973</v>
      </c>
      <c r="BX60" s="32">
        <v>-10.718727828841121</v>
      </c>
      <c r="BY60" s="32"/>
      <c r="BZ60" s="32">
        <v>0</v>
      </c>
      <c r="CA60" s="32">
        <v>-151.98287973940262</v>
      </c>
      <c r="CB60" s="32">
        <v>277.1969888469207</v>
      </c>
      <c r="CC60" s="32">
        <v>-162.70160756824373</v>
      </c>
      <c r="CD60" s="383">
        <v>9999</v>
      </c>
      <c r="CE60" s="32">
        <v>-48.924834137887686</v>
      </c>
      <c r="CF60" s="32">
        <v>3.6513398793901684</v>
      </c>
      <c r="CG60" s="32">
        <v>0</v>
      </c>
      <c r="CH60" s="32">
        <v>3.6513398793901684</v>
      </c>
      <c r="CI60" s="32">
        <v>0.18256614899793089</v>
      </c>
      <c r="CJ60" s="32">
        <v>0</v>
      </c>
      <c r="CK60" s="32">
        <v>0.18256614899793089</v>
      </c>
      <c r="CL60" s="32"/>
      <c r="CM60" s="32">
        <v>0</v>
      </c>
      <c r="CN60" s="32"/>
      <c r="CO60" s="32">
        <v>0</v>
      </c>
      <c r="CP60" s="32">
        <v>0</v>
      </c>
      <c r="CQ60" s="32">
        <v>0</v>
      </c>
      <c r="CR60" s="32">
        <v>0</v>
      </c>
      <c r="CS60" s="32">
        <v>0</v>
      </c>
      <c r="CT60" s="32">
        <v>0</v>
      </c>
      <c r="CU60" s="32">
        <v>-3.5390523894473516</v>
      </c>
      <c r="CV60" s="32">
        <v>9999</v>
      </c>
      <c r="CW60" s="383">
        <v>9999</v>
      </c>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row>
    <row r="61" spans="1:131">
      <c r="A61" s="11" t="s">
        <v>528</v>
      </c>
      <c r="B61" s="11" t="s">
        <v>528</v>
      </c>
      <c r="C61" s="32">
        <v>16.279069767441861</v>
      </c>
      <c r="D61" s="32">
        <v>339.69999999999993</v>
      </c>
      <c r="E61" s="32">
        <v>0</v>
      </c>
      <c r="F61" s="32">
        <v>-8.5918959509302795</v>
      </c>
      <c r="G61" s="32">
        <v>-56</v>
      </c>
      <c r="H61" s="32">
        <v>0</v>
      </c>
      <c r="I61" s="32" t="s">
        <v>526</v>
      </c>
      <c r="J61" s="32"/>
      <c r="K61" s="32"/>
      <c r="L61" s="32">
        <v>384.34978736406504</v>
      </c>
      <c r="M61" s="32">
        <v>8.9839054793938777E-2</v>
      </c>
      <c r="N61" s="32">
        <v>8.523629487090964E-2</v>
      </c>
      <c r="O61" s="32">
        <v>0</v>
      </c>
      <c r="P61" s="32">
        <v>0</v>
      </c>
      <c r="Q61" s="32">
        <v>0</v>
      </c>
      <c r="R61" s="32">
        <v>-1.713338827476222</v>
      </c>
      <c r="S61" s="32">
        <v>-0.42420701067138822</v>
      </c>
      <c r="T61" s="32">
        <v>-3.5390523894473516</v>
      </c>
      <c r="U61" s="32">
        <v>-5.0421296012461596</v>
      </c>
      <c r="V61" s="32" t="s">
        <v>611</v>
      </c>
      <c r="W61" s="32" t="s">
        <v>611</v>
      </c>
      <c r="X61" s="32" t="s">
        <v>611</v>
      </c>
      <c r="Y61" s="32" t="s">
        <v>611</v>
      </c>
      <c r="Z61" s="32">
        <v>0</v>
      </c>
      <c r="AA61" s="32">
        <v>0</v>
      </c>
      <c r="AB61" s="32">
        <v>0</v>
      </c>
      <c r="AC61" s="32">
        <v>-761.05827531819057</v>
      </c>
      <c r="AD61" s="32">
        <v>0</v>
      </c>
      <c r="AE61" s="32">
        <v>0</v>
      </c>
      <c r="AF61" s="32">
        <v>0</v>
      </c>
      <c r="AG61" s="32">
        <v>0</v>
      </c>
      <c r="AH61" s="32">
        <v>-1.713338827476222</v>
      </c>
      <c r="AI61" s="32">
        <v>-0.42420701067138822</v>
      </c>
      <c r="AJ61" s="32">
        <v>-3.5390523894473516</v>
      </c>
      <c r="AK61" s="32">
        <v>-766.10040491943676</v>
      </c>
      <c r="AL61" s="32">
        <v>-771.77700314703168</v>
      </c>
      <c r="AM61" s="32">
        <v>184.34270770993186</v>
      </c>
      <c r="AN61" s="32">
        <v>31.744493902499592</v>
      </c>
      <c r="AO61" s="32">
        <v>21.608720161243145</v>
      </c>
      <c r="AP61" s="32">
        <v>0</v>
      </c>
      <c r="AQ61" s="32">
        <v>237.6959217736746</v>
      </c>
      <c r="AR61" s="32">
        <v>-1.713338827476222</v>
      </c>
      <c r="AS61" s="383">
        <v>9999</v>
      </c>
      <c r="AT61" s="32">
        <v>184.34270770993186</v>
      </c>
      <c r="AU61" s="32">
        <v>35.910060975678277</v>
      </c>
      <c r="AV61" s="32">
        <v>22.025276868561015</v>
      </c>
      <c r="AW61" s="32">
        <v>0</v>
      </c>
      <c r="AX61" s="32">
        <v>242.27804555417114</v>
      </c>
      <c r="AY61" s="32">
        <v>-0.42420701067138822</v>
      </c>
      <c r="AZ61" s="383">
        <v>9999</v>
      </c>
      <c r="BA61" s="32">
        <v>184.34270770993186</v>
      </c>
      <c r="BB61" s="32">
        <v>67.654554878177862</v>
      </c>
      <c r="BC61" s="32">
        <v>25.199726258810973</v>
      </c>
      <c r="BD61" s="32">
        <v>0</v>
      </c>
      <c r="BE61" s="32">
        <v>277.1969888469207</v>
      </c>
      <c r="BF61" s="32">
        <v>-2.1375458381476102</v>
      </c>
      <c r="BG61" s="32">
        <v>-18.185686906921656</v>
      </c>
      <c r="BH61" s="383">
        <v>9999</v>
      </c>
      <c r="BI61" s="32">
        <v>-0.32800972961716296</v>
      </c>
      <c r="BJ61" s="32">
        <v>-8.1212206622894662E-2</v>
      </c>
      <c r="BK61" s="32">
        <v>-0.67753301258779219</v>
      </c>
      <c r="BL61" s="32">
        <v>-146.66590323373205</v>
      </c>
      <c r="BM61" s="32">
        <v>-147.75265818255988</v>
      </c>
      <c r="BN61" s="32">
        <v>184.34270770993186</v>
      </c>
      <c r="BO61" s="32">
        <v>0</v>
      </c>
      <c r="BP61" s="32">
        <v>67.654554878177862</v>
      </c>
      <c r="BQ61" s="32">
        <v>0</v>
      </c>
      <c r="BR61" s="32">
        <v>0</v>
      </c>
      <c r="BS61" s="32">
        <v>0</v>
      </c>
      <c r="BT61" s="32">
        <v>0</v>
      </c>
      <c r="BU61" s="32">
        <v>0</v>
      </c>
      <c r="BV61" s="32">
        <v>0</v>
      </c>
      <c r="BW61" s="32">
        <v>25.199726258810973</v>
      </c>
      <c r="BX61" s="32">
        <v>-10.718727828841121</v>
      </c>
      <c r="BY61" s="32"/>
      <c r="BZ61" s="32">
        <v>-761.05827531819057</v>
      </c>
      <c r="CA61" s="32">
        <v>0</v>
      </c>
      <c r="CB61" s="32">
        <v>277.1969888469207</v>
      </c>
      <c r="CC61" s="32">
        <v>-771.77700314703168</v>
      </c>
      <c r="CD61" s="383">
        <v>9999</v>
      </c>
      <c r="CE61" s="32">
        <v>-165.52912315324153</v>
      </c>
      <c r="CF61" s="32">
        <v>3.6513398793901684</v>
      </c>
      <c r="CG61" s="32">
        <v>0</v>
      </c>
      <c r="CH61" s="32">
        <v>3.6513398793901684</v>
      </c>
      <c r="CI61" s="32">
        <v>0.18256614899793089</v>
      </c>
      <c r="CJ61" s="32">
        <v>0</v>
      </c>
      <c r="CK61" s="32">
        <v>0.18256614899793089</v>
      </c>
      <c r="CL61" s="32"/>
      <c r="CM61" s="32">
        <v>0</v>
      </c>
      <c r="CN61" s="32"/>
      <c r="CO61" s="32">
        <v>0</v>
      </c>
      <c r="CP61" s="32">
        <v>0</v>
      </c>
      <c r="CQ61" s="32">
        <v>0</v>
      </c>
      <c r="CR61" s="32">
        <v>0</v>
      </c>
      <c r="CS61" s="32">
        <v>0</v>
      </c>
      <c r="CT61" s="32">
        <v>0</v>
      </c>
      <c r="CU61" s="32">
        <v>-3.5390523894473516</v>
      </c>
      <c r="CV61" s="32">
        <v>9999</v>
      </c>
      <c r="CW61" s="383">
        <v>9999</v>
      </c>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row>
    <row r="62" spans="1:131">
      <c r="A62" s="11" t="s">
        <v>529</v>
      </c>
      <c r="B62" s="11" t="s">
        <v>529</v>
      </c>
      <c r="C62" s="32">
        <v>16.279069767441861</v>
      </c>
      <c r="D62" s="32">
        <v>270.89999999999998</v>
      </c>
      <c r="E62" s="32">
        <v>0</v>
      </c>
      <c r="F62" s="32">
        <v>-8.5918959509302795</v>
      </c>
      <c r="G62" s="32">
        <v>0</v>
      </c>
      <c r="H62" s="32">
        <v>-151.98287973940262</v>
      </c>
      <c r="I62" s="32" t="s">
        <v>526</v>
      </c>
      <c r="J62" s="32"/>
      <c r="K62" s="32"/>
      <c r="L62" s="32">
        <v>306.50679245488732</v>
      </c>
      <c r="M62" s="32">
        <v>7.1643803190103078E-2</v>
      </c>
      <c r="N62" s="32">
        <v>6.7973247808446935E-2</v>
      </c>
      <c r="O62" s="32">
        <v>0</v>
      </c>
      <c r="P62" s="32">
        <v>0</v>
      </c>
      <c r="Q62" s="32">
        <v>0</v>
      </c>
      <c r="R62" s="32">
        <v>-1.713338827476222</v>
      </c>
      <c r="S62" s="32">
        <v>-0.42420701067138822</v>
      </c>
      <c r="T62" s="32">
        <v>-3.5390523894473516</v>
      </c>
      <c r="U62" s="32">
        <v>-5.0421296012461596</v>
      </c>
      <c r="V62" s="32" t="s">
        <v>611</v>
      </c>
      <c r="W62" s="32" t="s">
        <v>611</v>
      </c>
      <c r="X62" s="32" t="s">
        <v>611</v>
      </c>
      <c r="Y62" s="32" t="s">
        <v>611</v>
      </c>
      <c r="Z62" s="32">
        <v>0</v>
      </c>
      <c r="AA62" s="32">
        <v>0</v>
      </c>
      <c r="AB62" s="32">
        <v>0</v>
      </c>
      <c r="AC62" s="32">
        <v>0</v>
      </c>
      <c r="AD62" s="32">
        <v>0</v>
      </c>
      <c r="AE62" s="32">
        <v>0</v>
      </c>
      <c r="AF62" s="32">
        <v>0</v>
      </c>
      <c r="AG62" s="32">
        <v>-151.98287973940262</v>
      </c>
      <c r="AH62" s="32">
        <v>-1.713338827476222</v>
      </c>
      <c r="AI62" s="32">
        <v>-0.42420701067138822</v>
      </c>
      <c r="AJ62" s="32">
        <v>-3.5390523894473516</v>
      </c>
      <c r="AK62" s="32">
        <v>-157.02500934064878</v>
      </c>
      <c r="AL62" s="32">
        <v>-162.70160756824373</v>
      </c>
      <c r="AM62" s="32">
        <v>147.00747576868</v>
      </c>
      <c r="AN62" s="32">
        <v>25.315229314651578</v>
      </c>
      <c r="AO62" s="32">
        <v>17.232270508333158</v>
      </c>
      <c r="AP62" s="32">
        <v>0</v>
      </c>
      <c r="AQ62" s="32">
        <v>189.55497559166474</v>
      </c>
      <c r="AR62" s="32">
        <v>-1.713338827476222</v>
      </c>
      <c r="AS62" s="383">
        <v>9999</v>
      </c>
      <c r="AT62" s="32">
        <v>147.00747576868</v>
      </c>
      <c r="AU62" s="32">
        <v>28.637137233768751</v>
      </c>
      <c r="AV62" s="32">
        <v>17.564461300244876</v>
      </c>
      <c r="AW62" s="32">
        <v>0</v>
      </c>
      <c r="AX62" s="32">
        <v>193.20907430269364</v>
      </c>
      <c r="AY62" s="32">
        <v>-0.42420701067138822</v>
      </c>
      <c r="AZ62" s="383">
        <v>9999</v>
      </c>
      <c r="BA62" s="32">
        <v>147.00747576868</v>
      </c>
      <c r="BB62" s="32">
        <v>53.952366548420329</v>
      </c>
      <c r="BC62" s="32">
        <v>20.095984231710034</v>
      </c>
      <c r="BD62" s="32">
        <v>0</v>
      </c>
      <c r="BE62" s="32">
        <v>221.05582654881039</v>
      </c>
      <c r="BF62" s="32">
        <v>-2.1375458381476102</v>
      </c>
      <c r="BG62" s="32">
        <v>-18.289616287554068</v>
      </c>
      <c r="BH62" s="383">
        <v>9999</v>
      </c>
      <c r="BI62" s="32">
        <v>-0.4113137879326329</v>
      </c>
      <c r="BJ62" s="32">
        <v>-0.1018375289398203</v>
      </c>
      <c r="BK62" s="32">
        <v>-0.84960488880056495</v>
      </c>
      <c r="BL62" s="32">
        <v>-37.696309892886994</v>
      </c>
      <c r="BM62" s="32">
        <v>-39.05906609856001</v>
      </c>
      <c r="BN62" s="32">
        <v>147.00747576868</v>
      </c>
      <c r="BO62" s="32">
        <v>0</v>
      </c>
      <c r="BP62" s="32">
        <v>53.952366548420329</v>
      </c>
      <c r="BQ62" s="32">
        <v>0</v>
      </c>
      <c r="BR62" s="32">
        <v>0</v>
      </c>
      <c r="BS62" s="32">
        <v>0</v>
      </c>
      <c r="BT62" s="32">
        <v>0</v>
      </c>
      <c r="BU62" s="32">
        <v>0</v>
      </c>
      <c r="BV62" s="32">
        <v>0</v>
      </c>
      <c r="BW62" s="32">
        <v>20.095984231710034</v>
      </c>
      <c r="BX62" s="32">
        <v>-10.718727828841121</v>
      </c>
      <c r="BY62" s="32"/>
      <c r="BZ62" s="32">
        <v>0</v>
      </c>
      <c r="CA62" s="32">
        <v>-151.98287973940262</v>
      </c>
      <c r="CB62" s="32">
        <v>221.05582654881036</v>
      </c>
      <c r="CC62" s="32">
        <v>-162.70160756824373</v>
      </c>
      <c r="CD62" s="383">
        <v>9999</v>
      </c>
      <c r="CE62" s="32">
        <v>-56.835531069241625</v>
      </c>
      <c r="CF62" s="32">
        <v>2.9118280050832959</v>
      </c>
      <c r="CG62" s="32">
        <v>0</v>
      </c>
      <c r="CH62" s="32">
        <v>2.9118280050832959</v>
      </c>
      <c r="CI62" s="32">
        <v>0.14559072641607146</v>
      </c>
      <c r="CJ62" s="32">
        <v>0</v>
      </c>
      <c r="CK62" s="32">
        <v>0.14559072641607146</v>
      </c>
      <c r="CL62" s="32"/>
      <c r="CM62" s="32">
        <v>0</v>
      </c>
      <c r="CN62" s="32"/>
      <c r="CO62" s="32">
        <v>0</v>
      </c>
      <c r="CP62" s="32">
        <v>0</v>
      </c>
      <c r="CQ62" s="32">
        <v>0</v>
      </c>
      <c r="CR62" s="32">
        <v>0</v>
      </c>
      <c r="CS62" s="32">
        <v>0</v>
      </c>
      <c r="CT62" s="32">
        <v>0</v>
      </c>
      <c r="CU62" s="32">
        <v>-3.5390523894473516</v>
      </c>
      <c r="CV62" s="32">
        <v>9999</v>
      </c>
      <c r="CW62" s="383">
        <v>9999</v>
      </c>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row>
    <row r="63" spans="1:131">
      <c r="A63" s="11" t="s">
        <v>530</v>
      </c>
      <c r="B63" s="11" t="s">
        <v>530</v>
      </c>
      <c r="C63" s="32">
        <v>16.279069767441861</v>
      </c>
      <c r="D63" s="32">
        <v>270.89999999999998</v>
      </c>
      <c r="E63" s="32">
        <v>0</v>
      </c>
      <c r="F63" s="32">
        <v>-8.5918959509302795</v>
      </c>
      <c r="G63" s="32">
        <v>-56</v>
      </c>
      <c r="H63" s="32">
        <v>0</v>
      </c>
      <c r="I63" s="32" t="s">
        <v>526</v>
      </c>
      <c r="J63" s="32"/>
      <c r="K63" s="32"/>
      <c r="L63" s="32">
        <v>306.50679245488732</v>
      </c>
      <c r="M63" s="32">
        <v>7.1643803190103078E-2</v>
      </c>
      <c r="N63" s="32">
        <v>6.7973247808446935E-2</v>
      </c>
      <c r="O63" s="32">
        <v>0</v>
      </c>
      <c r="P63" s="32">
        <v>0</v>
      </c>
      <c r="Q63" s="32">
        <v>0</v>
      </c>
      <c r="R63" s="32">
        <v>-1.713338827476222</v>
      </c>
      <c r="S63" s="32">
        <v>-0.42420701067138822</v>
      </c>
      <c r="T63" s="32">
        <v>-3.5390523894473516</v>
      </c>
      <c r="U63" s="32">
        <v>-5.0421296012461596</v>
      </c>
      <c r="V63" s="32" t="s">
        <v>611</v>
      </c>
      <c r="W63" s="32" t="s">
        <v>611</v>
      </c>
      <c r="X63" s="32" t="s">
        <v>611</v>
      </c>
      <c r="Y63" s="32" t="s">
        <v>611</v>
      </c>
      <c r="Z63" s="32">
        <v>0</v>
      </c>
      <c r="AA63" s="32">
        <v>0</v>
      </c>
      <c r="AB63" s="32">
        <v>0</v>
      </c>
      <c r="AC63" s="32">
        <v>-761.05827531819057</v>
      </c>
      <c r="AD63" s="32">
        <v>0</v>
      </c>
      <c r="AE63" s="32">
        <v>0</v>
      </c>
      <c r="AF63" s="32">
        <v>0</v>
      </c>
      <c r="AG63" s="32">
        <v>0</v>
      </c>
      <c r="AH63" s="32">
        <v>-1.713338827476222</v>
      </c>
      <c r="AI63" s="32">
        <v>-0.42420701067138822</v>
      </c>
      <c r="AJ63" s="32">
        <v>-3.5390523894473516</v>
      </c>
      <c r="AK63" s="32">
        <v>-766.10040491943676</v>
      </c>
      <c r="AL63" s="32">
        <v>-771.77700314703168</v>
      </c>
      <c r="AM63" s="32">
        <v>147.00747576868</v>
      </c>
      <c r="AN63" s="32">
        <v>25.315229314651578</v>
      </c>
      <c r="AO63" s="32">
        <v>17.232270508333158</v>
      </c>
      <c r="AP63" s="32">
        <v>0</v>
      </c>
      <c r="AQ63" s="32">
        <v>189.55497559166474</v>
      </c>
      <c r="AR63" s="32">
        <v>-1.713338827476222</v>
      </c>
      <c r="AS63" s="383">
        <v>9999</v>
      </c>
      <c r="AT63" s="32">
        <v>147.00747576868</v>
      </c>
      <c r="AU63" s="32">
        <v>28.637137233768751</v>
      </c>
      <c r="AV63" s="32">
        <v>17.564461300244876</v>
      </c>
      <c r="AW63" s="32">
        <v>0</v>
      </c>
      <c r="AX63" s="32">
        <v>193.20907430269364</v>
      </c>
      <c r="AY63" s="32">
        <v>-0.42420701067138822</v>
      </c>
      <c r="AZ63" s="383">
        <v>9999</v>
      </c>
      <c r="BA63" s="32">
        <v>147.00747576868</v>
      </c>
      <c r="BB63" s="32">
        <v>53.952366548420329</v>
      </c>
      <c r="BC63" s="32">
        <v>20.095984231710034</v>
      </c>
      <c r="BD63" s="32">
        <v>0</v>
      </c>
      <c r="BE63" s="32">
        <v>221.05582654881039</v>
      </c>
      <c r="BF63" s="32">
        <v>-2.1375458381476102</v>
      </c>
      <c r="BG63" s="32">
        <v>-18.289616287554068</v>
      </c>
      <c r="BH63" s="383">
        <v>9999</v>
      </c>
      <c r="BI63" s="32">
        <v>-0.4113137879326329</v>
      </c>
      <c r="BJ63" s="32">
        <v>-0.1018375289398203</v>
      </c>
      <c r="BK63" s="32">
        <v>-0.84960488880056495</v>
      </c>
      <c r="BL63" s="32">
        <v>-183.91438659467988</v>
      </c>
      <c r="BM63" s="32">
        <v>-185.27714280035289</v>
      </c>
      <c r="BN63" s="32">
        <v>147.00747576868</v>
      </c>
      <c r="BO63" s="32">
        <v>0</v>
      </c>
      <c r="BP63" s="32">
        <v>53.952366548420329</v>
      </c>
      <c r="BQ63" s="32">
        <v>0</v>
      </c>
      <c r="BR63" s="32">
        <v>0</v>
      </c>
      <c r="BS63" s="32">
        <v>0</v>
      </c>
      <c r="BT63" s="32">
        <v>0</v>
      </c>
      <c r="BU63" s="32">
        <v>0</v>
      </c>
      <c r="BV63" s="32">
        <v>0</v>
      </c>
      <c r="BW63" s="32">
        <v>20.095984231710034</v>
      </c>
      <c r="BX63" s="32">
        <v>-10.718727828841121</v>
      </c>
      <c r="BY63" s="32"/>
      <c r="BZ63" s="32">
        <v>-761.05827531819057</v>
      </c>
      <c r="CA63" s="32">
        <v>0</v>
      </c>
      <c r="CB63" s="32">
        <v>221.05582654881036</v>
      </c>
      <c r="CC63" s="32">
        <v>-771.77700314703168</v>
      </c>
      <c r="CD63" s="383">
        <v>9999</v>
      </c>
      <c r="CE63" s="32">
        <v>-203.05360777103448</v>
      </c>
      <c r="CF63" s="32">
        <v>2.9118280050832959</v>
      </c>
      <c r="CG63" s="32">
        <v>0</v>
      </c>
      <c r="CH63" s="32">
        <v>2.9118280050832959</v>
      </c>
      <c r="CI63" s="32">
        <v>0.14559072641607146</v>
      </c>
      <c r="CJ63" s="32">
        <v>0</v>
      </c>
      <c r="CK63" s="32">
        <v>0.14559072641607146</v>
      </c>
      <c r="CL63" s="32"/>
      <c r="CM63" s="32">
        <v>0</v>
      </c>
      <c r="CN63" s="32"/>
      <c r="CO63" s="32">
        <v>0</v>
      </c>
      <c r="CP63" s="32">
        <v>0</v>
      </c>
      <c r="CQ63" s="32">
        <v>0</v>
      </c>
      <c r="CR63" s="32">
        <v>0</v>
      </c>
      <c r="CS63" s="32">
        <v>0</v>
      </c>
      <c r="CT63" s="32">
        <v>0</v>
      </c>
      <c r="CU63" s="32">
        <v>-3.5390523894473516</v>
      </c>
      <c r="CV63" s="32">
        <v>9999</v>
      </c>
      <c r="CW63" s="383">
        <v>9999</v>
      </c>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row>
    <row r="64" spans="1:131">
      <c r="A64" s="11" t="s">
        <v>840</v>
      </c>
      <c r="B64" s="11" t="s">
        <v>840</v>
      </c>
      <c r="C64" s="32">
        <v>16.279069767441861</v>
      </c>
      <c r="D64" s="32">
        <v>408.5</v>
      </c>
      <c r="E64" s="32">
        <v>0</v>
      </c>
      <c r="F64" s="32">
        <v>2.0115772129567233</v>
      </c>
      <c r="G64" s="32">
        <v>0</v>
      </c>
      <c r="H64" s="32">
        <v>-157.90429063834037</v>
      </c>
      <c r="I64" s="32" t="s">
        <v>526</v>
      </c>
      <c r="J64" s="32"/>
      <c r="K64" s="32"/>
      <c r="L64" s="32">
        <v>462.19278227324287</v>
      </c>
      <c r="M64" s="32">
        <v>0.10803430639777449</v>
      </c>
      <c r="N64" s="32">
        <v>0.10249934193337237</v>
      </c>
      <c r="O64" s="32">
        <v>0</v>
      </c>
      <c r="P64" s="32">
        <v>0</v>
      </c>
      <c r="Q64" s="32">
        <v>0</v>
      </c>
      <c r="R64" s="32">
        <v>0.40113536792213955</v>
      </c>
      <c r="S64" s="32">
        <v>9.9317445313180402E-2</v>
      </c>
      <c r="T64" s="32">
        <v>0.82858046497892279</v>
      </c>
      <c r="U64" s="32">
        <v>1.1804883425692743</v>
      </c>
      <c r="V64" s="32" t="s">
        <v>611</v>
      </c>
      <c r="W64" s="32" t="s">
        <v>611</v>
      </c>
      <c r="X64" s="32" t="s">
        <v>611</v>
      </c>
      <c r="Y64" s="32" t="s">
        <v>611</v>
      </c>
      <c r="Z64" s="32">
        <v>0</v>
      </c>
      <c r="AA64" s="32">
        <v>0</v>
      </c>
      <c r="AB64" s="32">
        <v>0</v>
      </c>
      <c r="AC64" s="32">
        <v>0</v>
      </c>
      <c r="AD64" s="32">
        <v>0</v>
      </c>
      <c r="AE64" s="32">
        <v>0</v>
      </c>
      <c r="AF64" s="32">
        <v>0</v>
      </c>
      <c r="AG64" s="32">
        <v>-157.90429063834037</v>
      </c>
      <c r="AH64" s="32">
        <v>0.40113536792213955</v>
      </c>
      <c r="AI64" s="32">
        <v>9.9317445313180402E-2</v>
      </c>
      <c r="AJ64" s="32">
        <v>0.82858046497892279</v>
      </c>
      <c r="AK64" s="32">
        <v>-156.72380229577109</v>
      </c>
      <c r="AL64" s="32">
        <v>-155.39476901755685</v>
      </c>
      <c r="AM64" s="32">
        <v>221.67793965118409</v>
      </c>
      <c r="AN64" s="32">
        <v>38.173758490347623</v>
      </c>
      <c r="AO64" s="32">
        <v>25.985169814153174</v>
      </c>
      <c r="AP64" s="32">
        <v>0</v>
      </c>
      <c r="AQ64" s="32">
        <v>285.83686795568485</v>
      </c>
      <c r="AR64" s="32">
        <v>0.40113536792213955</v>
      </c>
      <c r="AS64" s="383">
        <v>712.56959822890974</v>
      </c>
      <c r="AT64" s="32">
        <v>221.67793965118409</v>
      </c>
      <c r="AU64" s="32">
        <v>43.182984717587814</v>
      </c>
      <c r="AV64" s="32">
        <v>26.486092436877193</v>
      </c>
      <c r="AW64" s="32">
        <v>0</v>
      </c>
      <c r="AX64" s="32">
        <v>291.3470168056491</v>
      </c>
      <c r="AY64" s="32">
        <v>9.9317445313180402E-2</v>
      </c>
      <c r="AZ64" s="383">
        <v>2933.4928610672237</v>
      </c>
      <c r="BA64" s="32">
        <v>221.67793965118409</v>
      </c>
      <c r="BB64" s="32">
        <v>81.356743207935438</v>
      </c>
      <c r="BC64" s="32">
        <v>30.303468285911954</v>
      </c>
      <c r="BD64" s="32">
        <v>0</v>
      </c>
      <c r="BE64" s="32">
        <v>333.33815114503147</v>
      </c>
      <c r="BF64" s="32">
        <v>0.50045281323531998</v>
      </c>
      <c r="BG64" s="32">
        <v>-17.696792168839856</v>
      </c>
      <c r="BH64" s="383">
        <v>666.07308886940189</v>
      </c>
      <c r="BI64" s="32">
        <v>6.3861322855924413E-2</v>
      </c>
      <c r="BJ64" s="32">
        <v>1.5811478985821366E-2</v>
      </c>
      <c r="BK64" s="32">
        <v>0.13191119212505248</v>
      </c>
      <c r="BL64" s="32">
        <v>-24.95065291665076</v>
      </c>
      <c r="BM64" s="32">
        <v>-24.739068922683963</v>
      </c>
      <c r="BN64" s="32">
        <v>221.67793965118409</v>
      </c>
      <c r="BO64" s="32">
        <v>0</v>
      </c>
      <c r="BP64" s="32">
        <v>81.356743207935438</v>
      </c>
      <c r="BQ64" s="32">
        <v>0</v>
      </c>
      <c r="BR64" s="32">
        <v>0</v>
      </c>
      <c r="BS64" s="32">
        <v>0</v>
      </c>
      <c r="BT64" s="32">
        <v>0</v>
      </c>
      <c r="BU64" s="32">
        <v>0</v>
      </c>
      <c r="BV64" s="32">
        <v>0</v>
      </c>
      <c r="BW64" s="32">
        <v>30.303468285911954</v>
      </c>
      <c r="BX64" s="32">
        <v>2.5095216207835169</v>
      </c>
      <c r="BY64" s="32"/>
      <c r="BZ64" s="32">
        <v>0</v>
      </c>
      <c r="CA64" s="32">
        <v>-157.90429063834037</v>
      </c>
      <c r="CB64" s="32">
        <v>333.33815114503147</v>
      </c>
      <c r="CC64" s="32">
        <v>-155.39476901755685</v>
      </c>
      <c r="CD64" s="383">
        <v>195.75142836585613</v>
      </c>
      <c r="CE64" s="32">
        <v>-42.515533893365571</v>
      </c>
      <c r="CF64" s="32">
        <v>4.3908517536970244</v>
      </c>
      <c r="CG64" s="32">
        <v>0</v>
      </c>
      <c r="CH64" s="32">
        <v>4.3908517536970244</v>
      </c>
      <c r="CI64" s="32">
        <v>0.21954157157979032</v>
      </c>
      <c r="CJ64" s="32">
        <v>0</v>
      </c>
      <c r="CK64" s="32">
        <v>0.21954157157979032</v>
      </c>
      <c r="CL64" s="32"/>
      <c r="CM64" s="32">
        <v>0</v>
      </c>
      <c r="CN64" s="32"/>
      <c r="CO64" s="32">
        <v>0</v>
      </c>
      <c r="CP64" s="32">
        <v>0</v>
      </c>
      <c r="CQ64" s="32">
        <v>0</v>
      </c>
      <c r="CR64" s="32">
        <v>0</v>
      </c>
      <c r="CS64" s="32">
        <v>0</v>
      </c>
      <c r="CT64" s="32">
        <v>0</v>
      </c>
      <c r="CU64" s="32">
        <v>0.82858046497892279</v>
      </c>
      <c r="CV64" s="32">
        <v>9999</v>
      </c>
      <c r="CW64" s="384">
        <v>0</v>
      </c>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row>
    <row r="65" spans="1:131">
      <c r="A65" s="11" t="s">
        <v>841</v>
      </c>
      <c r="B65" s="11" t="s">
        <v>841</v>
      </c>
      <c r="C65" s="32">
        <v>16.279069767441861</v>
      </c>
      <c r="D65" s="32">
        <v>408.5</v>
      </c>
      <c r="E65" s="32">
        <v>0</v>
      </c>
      <c r="F65" s="32">
        <v>2.0115772129567233</v>
      </c>
      <c r="G65" s="32">
        <v>-56</v>
      </c>
      <c r="H65" s="32">
        <v>0</v>
      </c>
      <c r="I65" s="32" t="s">
        <v>526</v>
      </c>
      <c r="J65" s="32"/>
      <c r="K65" s="32"/>
      <c r="L65" s="32">
        <v>462.19278227324287</v>
      </c>
      <c r="M65" s="32">
        <v>0.10803430639777449</v>
      </c>
      <c r="N65" s="32">
        <v>0.10249934193337237</v>
      </c>
      <c r="O65" s="32">
        <v>0</v>
      </c>
      <c r="P65" s="32">
        <v>0</v>
      </c>
      <c r="Q65" s="32">
        <v>0</v>
      </c>
      <c r="R65" s="32">
        <v>0.40113536792213955</v>
      </c>
      <c r="S65" s="32">
        <v>9.9317445313180402E-2</v>
      </c>
      <c r="T65" s="32">
        <v>0.82858046497892279</v>
      </c>
      <c r="U65" s="32">
        <v>1.1804883425692743</v>
      </c>
      <c r="V65" s="32" t="s">
        <v>611</v>
      </c>
      <c r="W65" s="32" t="s">
        <v>611</v>
      </c>
      <c r="X65" s="32" t="s">
        <v>611</v>
      </c>
      <c r="Y65" s="32" t="s">
        <v>611</v>
      </c>
      <c r="Z65" s="32">
        <v>0</v>
      </c>
      <c r="AA65" s="32">
        <v>0</v>
      </c>
      <c r="AB65" s="32">
        <v>0</v>
      </c>
      <c r="AC65" s="32">
        <v>-761.05827531819057</v>
      </c>
      <c r="AD65" s="32">
        <v>0</v>
      </c>
      <c r="AE65" s="32">
        <v>0</v>
      </c>
      <c r="AF65" s="32">
        <v>0</v>
      </c>
      <c r="AG65" s="32">
        <v>0</v>
      </c>
      <c r="AH65" s="32">
        <v>0.40113536792213955</v>
      </c>
      <c r="AI65" s="32">
        <v>9.9317445313180402E-2</v>
      </c>
      <c r="AJ65" s="32">
        <v>0.82858046497892279</v>
      </c>
      <c r="AK65" s="32">
        <v>-759.87778697562135</v>
      </c>
      <c r="AL65" s="32">
        <v>-758.54875369740705</v>
      </c>
      <c r="AM65" s="32">
        <v>221.67793965118409</v>
      </c>
      <c r="AN65" s="32">
        <v>38.173758490347623</v>
      </c>
      <c r="AO65" s="32">
        <v>25.985169814153174</v>
      </c>
      <c r="AP65" s="32">
        <v>0</v>
      </c>
      <c r="AQ65" s="32">
        <v>285.83686795568485</v>
      </c>
      <c r="AR65" s="32">
        <v>0.40113536792213955</v>
      </c>
      <c r="AS65" s="383">
        <v>712.56959822890974</v>
      </c>
      <c r="AT65" s="32">
        <v>221.67793965118409</v>
      </c>
      <c r="AU65" s="32">
        <v>43.182984717587814</v>
      </c>
      <c r="AV65" s="32">
        <v>26.486092436877193</v>
      </c>
      <c r="AW65" s="32">
        <v>0</v>
      </c>
      <c r="AX65" s="32">
        <v>291.3470168056491</v>
      </c>
      <c r="AY65" s="32">
        <v>9.9317445313180402E-2</v>
      </c>
      <c r="AZ65" s="383">
        <v>2933.4928610672237</v>
      </c>
      <c r="BA65" s="32">
        <v>221.67793965118409</v>
      </c>
      <c r="BB65" s="32">
        <v>81.356743207935438</v>
      </c>
      <c r="BC65" s="32">
        <v>30.303468285911954</v>
      </c>
      <c r="BD65" s="32">
        <v>0</v>
      </c>
      <c r="BE65" s="32">
        <v>333.33815114503147</v>
      </c>
      <c r="BF65" s="32">
        <v>0.50045281323531998</v>
      </c>
      <c r="BG65" s="32">
        <v>-17.696792168839856</v>
      </c>
      <c r="BH65" s="383">
        <v>666.07308886940189</v>
      </c>
      <c r="BI65" s="32">
        <v>6.3861322855924413E-2</v>
      </c>
      <c r="BJ65" s="32">
        <v>1.5811478985821366E-2</v>
      </c>
      <c r="BK65" s="32">
        <v>0.13191119212505248</v>
      </c>
      <c r="BL65" s="32">
        <v>-120.97362777174656</v>
      </c>
      <c r="BM65" s="32">
        <v>-120.76204377777975</v>
      </c>
      <c r="BN65" s="32">
        <v>221.67793965118409</v>
      </c>
      <c r="BO65" s="32">
        <v>0</v>
      </c>
      <c r="BP65" s="32">
        <v>81.356743207935438</v>
      </c>
      <c r="BQ65" s="32">
        <v>0</v>
      </c>
      <c r="BR65" s="32">
        <v>0</v>
      </c>
      <c r="BS65" s="32">
        <v>0</v>
      </c>
      <c r="BT65" s="32">
        <v>0</v>
      </c>
      <c r="BU65" s="32">
        <v>0</v>
      </c>
      <c r="BV65" s="32">
        <v>0</v>
      </c>
      <c r="BW65" s="32">
        <v>30.303468285911954</v>
      </c>
      <c r="BX65" s="32">
        <v>2.5095216207835169</v>
      </c>
      <c r="BY65" s="32"/>
      <c r="BZ65" s="32">
        <v>-761.05827531819057</v>
      </c>
      <c r="CA65" s="32">
        <v>0</v>
      </c>
      <c r="CB65" s="32">
        <v>333.33815114503147</v>
      </c>
      <c r="CC65" s="32">
        <v>-758.54875369740705</v>
      </c>
      <c r="CD65" s="383">
        <v>436.0976280895847</v>
      </c>
      <c r="CE65" s="32">
        <v>-138.53850874846137</v>
      </c>
      <c r="CF65" s="32">
        <v>4.3908517536970244</v>
      </c>
      <c r="CG65" s="32">
        <v>0</v>
      </c>
      <c r="CH65" s="32">
        <v>4.3908517536970244</v>
      </c>
      <c r="CI65" s="32">
        <v>0.21954157157979032</v>
      </c>
      <c r="CJ65" s="32">
        <v>0</v>
      </c>
      <c r="CK65" s="32">
        <v>0.21954157157979032</v>
      </c>
      <c r="CL65" s="32"/>
      <c r="CM65" s="32">
        <v>0</v>
      </c>
      <c r="CN65" s="32"/>
      <c r="CO65" s="32">
        <v>0</v>
      </c>
      <c r="CP65" s="32">
        <v>0</v>
      </c>
      <c r="CQ65" s="32">
        <v>0</v>
      </c>
      <c r="CR65" s="32">
        <v>0</v>
      </c>
      <c r="CS65" s="32">
        <v>0</v>
      </c>
      <c r="CT65" s="32">
        <v>0</v>
      </c>
      <c r="CU65" s="32">
        <v>0.82858046497892279</v>
      </c>
      <c r="CV65" s="32">
        <v>9999</v>
      </c>
      <c r="CW65" s="384">
        <v>0</v>
      </c>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row>
    <row r="66" spans="1:131">
      <c r="A66" s="11" t="s">
        <v>842</v>
      </c>
      <c r="B66" s="11" t="s">
        <v>842</v>
      </c>
      <c r="C66" s="32">
        <v>16.279069767441861</v>
      </c>
      <c r="D66" s="32">
        <v>666.5</v>
      </c>
      <c r="E66" s="32">
        <v>0</v>
      </c>
      <c r="F66" s="32">
        <v>2.0115772129567233</v>
      </c>
      <c r="G66" s="32">
        <v>0</v>
      </c>
      <c r="H66" s="32">
        <v>-157.90429063834037</v>
      </c>
      <c r="I66" s="32" t="s">
        <v>526</v>
      </c>
      <c r="J66" s="32"/>
      <c r="K66" s="32"/>
      <c r="L66" s="32">
        <v>754.1040131826594</v>
      </c>
      <c r="M66" s="32">
        <v>0.1762664999121584</v>
      </c>
      <c r="N66" s="32">
        <v>0.16723576841760757</v>
      </c>
      <c r="O66" s="32">
        <v>0</v>
      </c>
      <c r="P66" s="32">
        <v>0</v>
      </c>
      <c r="Q66" s="32">
        <v>0</v>
      </c>
      <c r="R66" s="32">
        <v>0.40113536792213955</v>
      </c>
      <c r="S66" s="32">
        <v>9.9317445313180402E-2</v>
      </c>
      <c r="T66" s="32">
        <v>0.82858046497892279</v>
      </c>
      <c r="U66" s="32">
        <v>1.1804883425692743</v>
      </c>
      <c r="V66" s="32" t="s">
        <v>611</v>
      </c>
      <c r="W66" s="32" t="s">
        <v>611</v>
      </c>
      <c r="X66" s="32" t="s">
        <v>611</v>
      </c>
      <c r="Y66" s="32" t="s">
        <v>611</v>
      </c>
      <c r="Z66" s="32">
        <v>0</v>
      </c>
      <c r="AA66" s="32">
        <v>0</v>
      </c>
      <c r="AB66" s="32">
        <v>0</v>
      </c>
      <c r="AC66" s="32">
        <v>0</v>
      </c>
      <c r="AD66" s="32">
        <v>0</v>
      </c>
      <c r="AE66" s="32">
        <v>0</v>
      </c>
      <c r="AF66" s="32">
        <v>0</v>
      </c>
      <c r="AG66" s="32">
        <v>-157.90429063834037</v>
      </c>
      <c r="AH66" s="32">
        <v>0.40113536792213955</v>
      </c>
      <c r="AI66" s="32">
        <v>9.9317445313180402E-2</v>
      </c>
      <c r="AJ66" s="32">
        <v>0.82858046497892279</v>
      </c>
      <c r="AK66" s="32">
        <v>-156.72380229577109</v>
      </c>
      <c r="AL66" s="32">
        <v>-155.39476901755685</v>
      </c>
      <c r="AM66" s="32">
        <v>361.68505943087922</v>
      </c>
      <c r="AN66" s="32">
        <v>62.283500694777707</v>
      </c>
      <c r="AO66" s="32">
        <v>42.396856012565692</v>
      </c>
      <c r="AP66" s="32">
        <v>0</v>
      </c>
      <c r="AQ66" s="32">
        <v>466.36541613822266</v>
      </c>
      <c r="AR66" s="32">
        <v>0.40113536792213955</v>
      </c>
      <c r="AS66" s="383">
        <v>1162.6135550050633</v>
      </c>
      <c r="AT66" s="32">
        <v>361.68505943087922</v>
      </c>
      <c r="AU66" s="32">
        <v>70.456448749748532</v>
      </c>
      <c r="AV66" s="32">
        <v>43.214150818062777</v>
      </c>
      <c r="AW66" s="32">
        <v>0</v>
      </c>
      <c r="AX66" s="32">
        <v>475.3556589986905</v>
      </c>
      <c r="AY66" s="32">
        <v>9.9317445313180402E-2</v>
      </c>
      <c r="AZ66" s="383">
        <v>4786.225194372837</v>
      </c>
      <c r="BA66" s="32">
        <v>361.68505943087922</v>
      </c>
      <c r="BB66" s="32">
        <v>132.73994944452625</v>
      </c>
      <c r="BC66" s="32">
        <v>49.442500887540547</v>
      </c>
      <c r="BD66" s="32">
        <v>0</v>
      </c>
      <c r="BE66" s="32">
        <v>543.86750976294604</v>
      </c>
      <c r="BF66" s="32">
        <v>0.50045281323531998</v>
      </c>
      <c r="BG66" s="32">
        <v>-17.727633253423758</v>
      </c>
      <c r="BH66" s="383">
        <v>1086.7508292079715</v>
      </c>
      <c r="BI66" s="32">
        <v>3.9140810782663349E-2</v>
      </c>
      <c r="BJ66" s="32">
        <v>9.6909064751808365E-3</v>
      </c>
      <c r="BK66" s="32">
        <v>8.0848795173419266E-2</v>
      </c>
      <c r="BL66" s="32">
        <v>-15.292335658592402</v>
      </c>
      <c r="BM66" s="32">
        <v>-15.162655146161137</v>
      </c>
      <c r="BN66" s="32">
        <v>361.68505943087922</v>
      </c>
      <c r="BO66" s="32">
        <v>0</v>
      </c>
      <c r="BP66" s="32">
        <v>132.73994944452625</v>
      </c>
      <c r="BQ66" s="32">
        <v>0</v>
      </c>
      <c r="BR66" s="32">
        <v>0</v>
      </c>
      <c r="BS66" s="32">
        <v>0</v>
      </c>
      <c r="BT66" s="32">
        <v>0</v>
      </c>
      <c r="BU66" s="32">
        <v>0</v>
      </c>
      <c r="BV66" s="32">
        <v>0</v>
      </c>
      <c r="BW66" s="32">
        <v>49.442500887540547</v>
      </c>
      <c r="BX66" s="32">
        <v>2.5095216207835169</v>
      </c>
      <c r="BY66" s="32"/>
      <c r="BZ66" s="32">
        <v>0</v>
      </c>
      <c r="CA66" s="32">
        <v>-157.90429063834037</v>
      </c>
      <c r="CB66" s="32">
        <v>543.86750976294604</v>
      </c>
      <c r="CC66" s="32">
        <v>-155.39476901755685</v>
      </c>
      <c r="CD66" s="383">
        <v>279.64365582241157</v>
      </c>
      <c r="CE66" s="32">
        <v>-32.939120116842744</v>
      </c>
      <c r="CF66" s="32">
        <v>7.1640212823477789</v>
      </c>
      <c r="CG66" s="32">
        <v>0</v>
      </c>
      <c r="CH66" s="32">
        <v>7.1640212823477789</v>
      </c>
      <c r="CI66" s="32">
        <v>0.35819940626176316</v>
      </c>
      <c r="CJ66" s="32">
        <v>0</v>
      </c>
      <c r="CK66" s="32">
        <v>0.35819940626176316</v>
      </c>
      <c r="CL66" s="32"/>
      <c r="CM66" s="32">
        <v>0</v>
      </c>
      <c r="CN66" s="32"/>
      <c r="CO66" s="32">
        <v>0</v>
      </c>
      <c r="CP66" s="32">
        <v>0</v>
      </c>
      <c r="CQ66" s="32">
        <v>0</v>
      </c>
      <c r="CR66" s="32">
        <v>0</v>
      </c>
      <c r="CS66" s="32">
        <v>0</v>
      </c>
      <c r="CT66" s="32">
        <v>0</v>
      </c>
      <c r="CU66" s="32">
        <v>0.82858046497892279</v>
      </c>
      <c r="CV66" s="32">
        <v>9999</v>
      </c>
      <c r="CW66" s="384">
        <v>0</v>
      </c>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row>
    <row r="67" spans="1:131">
      <c r="A67" s="11" t="s">
        <v>843</v>
      </c>
      <c r="B67" s="11" t="s">
        <v>843</v>
      </c>
      <c r="C67" s="32">
        <v>16.279069767441861</v>
      </c>
      <c r="D67" s="32">
        <v>666.5</v>
      </c>
      <c r="E67" s="32">
        <v>0</v>
      </c>
      <c r="F67" s="32">
        <v>2.0115772129567233</v>
      </c>
      <c r="G67" s="32">
        <v>-56</v>
      </c>
      <c r="H67" s="32">
        <v>0</v>
      </c>
      <c r="I67" s="32" t="s">
        <v>526</v>
      </c>
      <c r="J67" s="32"/>
      <c r="K67" s="32"/>
      <c r="L67" s="32">
        <v>754.1040131826594</v>
      </c>
      <c r="M67" s="32">
        <v>0.1762664999121584</v>
      </c>
      <c r="N67" s="32">
        <v>0.16723576841760757</v>
      </c>
      <c r="O67" s="32">
        <v>0</v>
      </c>
      <c r="P67" s="32">
        <v>0</v>
      </c>
      <c r="Q67" s="32">
        <v>0</v>
      </c>
      <c r="R67" s="32">
        <v>0.40113536792213955</v>
      </c>
      <c r="S67" s="32">
        <v>9.9317445313180402E-2</v>
      </c>
      <c r="T67" s="32">
        <v>0.82858046497892279</v>
      </c>
      <c r="U67" s="32">
        <v>1.1804883425692743</v>
      </c>
      <c r="V67" s="32" t="s">
        <v>611</v>
      </c>
      <c r="W67" s="32" t="s">
        <v>611</v>
      </c>
      <c r="X67" s="32" t="s">
        <v>611</v>
      </c>
      <c r="Y67" s="32" t="s">
        <v>611</v>
      </c>
      <c r="Z67" s="32">
        <v>0</v>
      </c>
      <c r="AA67" s="32">
        <v>0</v>
      </c>
      <c r="AB67" s="32">
        <v>0</v>
      </c>
      <c r="AC67" s="32">
        <v>-761.05827531819057</v>
      </c>
      <c r="AD67" s="32">
        <v>0</v>
      </c>
      <c r="AE67" s="32">
        <v>0</v>
      </c>
      <c r="AF67" s="32">
        <v>0</v>
      </c>
      <c r="AG67" s="32">
        <v>0</v>
      </c>
      <c r="AH67" s="32">
        <v>0.40113536792213955</v>
      </c>
      <c r="AI67" s="32">
        <v>9.9317445313180402E-2</v>
      </c>
      <c r="AJ67" s="32">
        <v>0.82858046497892279</v>
      </c>
      <c r="AK67" s="32">
        <v>-759.87778697562135</v>
      </c>
      <c r="AL67" s="32">
        <v>-758.54875369740705</v>
      </c>
      <c r="AM67" s="32">
        <v>361.68505943087922</v>
      </c>
      <c r="AN67" s="32">
        <v>62.283500694777707</v>
      </c>
      <c r="AO67" s="32">
        <v>42.396856012565692</v>
      </c>
      <c r="AP67" s="32">
        <v>0</v>
      </c>
      <c r="AQ67" s="32">
        <v>466.36541613822266</v>
      </c>
      <c r="AR67" s="32">
        <v>0.40113536792213955</v>
      </c>
      <c r="AS67" s="383">
        <v>1162.6135550050633</v>
      </c>
      <c r="AT67" s="32">
        <v>361.68505943087922</v>
      </c>
      <c r="AU67" s="32">
        <v>70.456448749748532</v>
      </c>
      <c r="AV67" s="32">
        <v>43.214150818062777</v>
      </c>
      <c r="AW67" s="32">
        <v>0</v>
      </c>
      <c r="AX67" s="32">
        <v>475.3556589986905</v>
      </c>
      <c r="AY67" s="32">
        <v>9.9317445313180402E-2</v>
      </c>
      <c r="AZ67" s="383">
        <v>4786.225194372837</v>
      </c>
      <c r="BA67" s="32">
        <v>361.68505943087922</v>
      </c>
      <c r="BB67" s="32">
        <v>132.73994944452625</v>
      </c>
      <c r="BC67" s="32">
        <v>49.442500887540547</v>
      </c>
      <c r="BD67" s="32">
        <v>0</v>
      </c>
      <c r="BE67" s="32">
        <v>543.86750976294604</v>
      </c>
      <c r="BF67" s="32">
        <v>0.50045281323531998</v>
      </c>
      <c r="BG67" s="32">
        <v>-17.727633253423758</v>
      </c>
      <c r="BH67" s="383">
        <v>1086.7508292079715</v>
      </c>
      <c r="BI67" s="32">
        <v>3.9140810782663349E-2</v>
      </c>
      <c r="BJ67" s="32">
        <v>9.6909064751808365E-3</v>
      </c>
      <c r="BK67" s="32">
        <v>8.0848795173419266E-2</v>
      </c>
      <c r="BL67" s="32">
        <v>-74.145126698812405</v>
      </c>
      <c r="BM67" s="32">
        <v>-74.015446186381141</v>
      </c>
      <c r="BN67" s="32">
        <v>361.68505943087922</v>
      </c>
      <c r="BO67" s="32">
        <v>0</v>
      </c>
      <c r="BP67" s="32">
        <v>132.73994944452625</v>
      </c>
      <c r="BQ67" s="32">
        <v>0</v>
      </c>
      <c r="BR67" s="32">
        <v>0</v>
      </c>
      <c r="BS67" s="32">
        <v>0</v>
      </c>
      <c r="BT67" s="32">
        <v>0</v>
      </c>
      <c r="BU67" s="32">
        <v>0</v>
      </c>
      <c r="BV67" s="32">
        <v>0</v>
      </c>
      <c r="BW67" s="32">
        <v>49.442500887540547</v>
      </c>
      <c r="BX67" s="32">
        <v>2.5095216207835169</v>
      </c>
      <c r="BY67" s="32"/>
      <c r="BZ67" s="32">
        <v>-761.05827531819057</v>
      </c>
      <c r="CA67" s="32">
        <v>0</v>
      </c>
      <c r="CB67" s="32">
        <v>543.86750976294604</v>
      </c>
      <c r="CC67" s="32">
        <v>-758.54875369740705</v>
      </c>
      <c r="CD67" s="383">
        <v>519.98985554614023</v>
      </c>
      <c r="CE67" s="32">
        <v>-91.791911157062742</v>
      </c>
      <c r="CF67" s="32">
        <v>7.1640212823477789</v>
      </c>
      <c r="CG67" s="32">
        <v>0</v>
      </c>
      <c r="CH67" s="32">
        <v>7.1640212823477789</v>
      </c>
      <c r="CI67" s="32">
        <v>0.35819940626176316</v>
      </c>
      <c r="CJ67" s="32">
        <v>0</v>
      </c>
      <c r="CK67" s="32">
        <v>0.35819940626176316</v>
      </c>
      <c r="CL67" s="32"/>
      <c r="CM67" s="32">
        <v>0</v>
      </c>
      <c r="CN67" s="32"/>
      <c r="CO67" s="32">
        <v>0</v>
      </c>
      <c r="CP67" s="32">
        <v>0</v>
      </c>
      <c r="CQ67" s="32">
        <v>0</v>
      </c>
      <c r="CR67" s="32">
        <v>0</v>
      </c>
      <c r="CS67" s="32">
        <v>0</v>
      </c>
      <c r="CT67" s="32">
        <v>0</v>
      </c>
      <c r="CU67" s="32">
        <v>0.82858046497892279</v>
      </c>
      <c r="CV67" s="32">
        <v>9999</v>
      </c>
      <c r="CW67" s="384">
        <v>0</v>
      </c>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row>
    <row r="68" spans="1:131">
      <c r="A68" s="11" t="s">
        <v>955</v>
      </c>
      <c r="B68" s="11" t="s">
        <v>955</v>
      </c>
      <c r="C68" s="32">
        <v>16.279069767441861</v>
      </c>
      <c r="D68" s="32">
        <v>1195.4000000000001</v>
      </c>
      <c r="E68" s="32">
        <v>0</v>
      </c>
      <c r="F68" s="32">
        <v>134.02315442591345</v>
      </c>
      <c r="G68" s="32">
        <v>0</v>
      </c>
      <c r="H68" s="32">
        <v>-176.38229806324742</v>
      </c>
      <c r="I68" s="32" t="s">
        <v>526</v>
      </c>
      <c r="J68" s="32"/>
      <c r="K68" s="32"/>
      <c r="L68" s="32">
        <v>1352.5220365469634</v>
      </c>
      <c r="M68" s="32">
        <v>0.3161424966166454</v>
      </c>
      <c r="N68" s="32">
        <v>0.29994544271028972</v>
      </c>
      <c r="O68" s="32">
        <v>0</v>
      </c>
      <c r="P68" s="32">
        <v>0</v>
      </c>
      <c r="Q68" s="32">
        <v>0</v>
      </c>
      <c r="R68" s="32">
        <v>26.726007341126671</v>
      </c>
      <c r="S68" s="32">
        <v>6.617114781704359</v>
      </c>
      <c r="T68" s="32">
        <v>55.204924224081694</v>
      </c>
      <c r="U68" s="32">
        <v>78.651105418719141</v>
      </c>
      <c r="V68" s="32" t="s">
        <v>611</v>
      </c>
      <c r="W68" s="32" t="s">
        <v>611</v>
      </c>
      <c r="X68" s="32" t="s">
        <v>611</v>
      </c>
      <c r="Y68" s="32" t="s">
        <v>611</v>
      </c>
      <c r="Z68" s="32">
        <v>0</v>
      </c>
      <c r="AA68" s="32">
        <v>0</v>
      </c>
      <c r="AB68" s="32">
        <v>0</v>
      </c>
      <c r="AC68" s="32">
        <v>0</v>
      </c>
      <c r="AD68" s="32">
        <v>0</v>
      </c>
      <c r="AE68" s="32">
        <v>0</v>
      </c>
      <c r="AF68" s="32">
        <v>0</v>
      </c>
      <c r="AG68" s="32">
        <v>-176.38229806324742</v>
      </c>
      <c r="AH68" s="32">
        <v>26.726007341126671</v>
      </c>
      <c r="AI68" s="32">
        <v>6.617114781704359</v>
      </c>
      <c r="AJ68" s="32">
        <v>55.204924224081694</v>
      </c>
      <c r="AK68" s="32">
        <v>-97.731192644528278</v>
      </c>
      <c r="AL68" s="32">
        <v>-9.1831462976155507</v>
      </c>
      <c r="AM68" s="32">
        <v>648.69965497925489</v>
      </c>
      <c r="AN68" s="32">
        <v>111.70847221385941</v>
      </c>
      <c r="AO68" s="32">
        <v>76.040812719311432</v>
      </c>
      <c r="AP68" s="32">
        <v>0</v>
      </c>
      <c r="AQ68" s="32">
        <v>836.44893991242577</v>
      </c>
      <c r="AR68" s="32">
        <v>26.726007341126671</v>
      </c>
      <c r="AS68" s="383">
        <v>31.297190382241514</v>
      </c>
      <c r="AT68" s="32">
        <v>648.69965497925489</v>
      </c>
      <c r="AU68" s="32">
        <v>126.36705001567803</v>
      </c>
      <c r="AV68" s="32">
        <v>77.506670499493296</v>
      </c>
      <c r="AW68" s="32">
        <v>0</v>
      </c>
      <c r="AX68" s="32">
        <v>852.57337549442627</v>
      </c>
      <c r="AY68" s="32">
        <v>6.617114781704359</v>
      </c>
      <c r="AZ68" s="383">
        <v>128.84367335620411</v>
      </c>
      <c r="BA68" s="32">
        <v>648.69965497925489</v>
      </c>
      <c r="BB68" s="32">
        <v>238.07552222953746</v>
      </c>
      <c r="BC68" s="32">
        <v>88.677517720879237</v>
      </c>
      <c r="BD68" s="32">
        <v>0</v>
      </c>
      <c r="BE68" s="32">
        <v>975.45269492967157</v>
      </c>
      <c r="BF68" s="32">
        <v>33.343122122831033</v>
      </c>
      <c r="BG68" s="32">
        <v>-15.962486920103693</v>
      </c>
      <c r="BH68" s="383">
        <v>29.25498971980641</v>
      </c>
      <c r="BI68" s="32">
        <v>1.4539847383755364</v>
      </c>
      <c r="BJ68" s="32">
        <v>0.35999331220237979</v>
      </c>
      <c r="BK68" s="32">
        <v>3.0033336547609046</v>
      </c>
      <c r="BL68" s="32">
        <v>-5.3169057672792359</v>
      </c>
      <c r="BM68" s="32">
        <v>-0.49959406194041495</v>
      </c>
      <c r="BN68" s="32">
        <v>648.69965497925489</v>
      </c>
      <c r="BO68" s="32">
        <v>0</v>
      </c>
      <c r="BP68" s="32">
        <v>238.07552222953746</v>
      </c>
      <c r="BQ68" s="32">
        <v>0</v>
      </c>
      <c r="BR68" s="32">
        <v>0</v>
      </c>
      <c r="BS68" s="32">
        <v>0</v>
      </c>
      <c r="BT68" s="32">
        <v>0</v>
      </c>
      <c r="BU68" s="32">
        <v>0</v>
      </c>
      <c r="BV68" s="32">
        <v>0</v>
      </c>
      <c r="BW68" s="32">
        <v>88.677517720879237</v>
      </c>
      <c r="BX68" s="32">
        <v>167.19915176563188</v>
      </c>
      <c r="BY68" s="32"/>
      <c r="BZ68" s="32">
        <v>0</v>
      </c>
      <c r="CA68" s="32">
        <v>-176.38229806324742</v>
      </c>
      <c r="CB68" s="32">
        <v>975.45269492967157</v>
      </c>
      <c r="CC68" s="32">
        <v>-9.1831462976155365</v>
      </c>
      <c r="CD68" s="383">
        <v>6.8890002181798202</v>
      </c>
      <c r="CE68" s="32">
        <v>-18.276059032622022</v>
      </c>
      <c r="CF68" s="32">
        <v>12.849018816081845</v>
      </c>
      <c r="CG68" s="32">
        <v>0</v>
      </c>
      <c r="CH68" s="32">
        <v>12.849018816081845</v>
      </c>
      <c r="CI68" s="32">
        <v>0.64244796735980758</v>
      </c>
      <c r="CJ68" s="32">
        <v>0</v>
      </c>
      <c r="CK68" s="32">
        <v>0.64244796735980758</v>
      </c>
      <c r="CL68" s="32"/>
      <c r="CM68" s="32">
        <v>0</v>
      </c>
      <c r="CN68" s="32"/>
      <c r="CO68" s="32">
        <v>0</v>
      </c>
      <c r="CP68" s="32">
        <v>0</v>
      </c>
      <c r="CQ68" s="32">
        <v>0</v>
      </c>
      <c r="CR68" s="32">
        <v>0</v>
      </c>
      <c r="CS68" s="32">
        <v>0</v>
      </c>
      <c r="CT68" s="32">
        <v>0</v>
      </c>
      <c r="CU68" s="32">
        <v>55.204924224081694</v>
      </c>
      <c r="CV68" s="32">
        <v>9999</v>
      </c>
      <c r="CW68" s="384">
        <v>0</v>
      </c>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row>
    <row r="69" spans="1:131">
      <c r="A69" s="11" t="s">
        <v>956</v>
      </c>
      <c r="B69" s="11" t="s">
        <v>956</v>
      </c>
      <c r="C69" s="32">
        <v>16.279069767441861</v>
      </c>
      <c r="D69" s="32">
        <v>1195.4000000000001</v>
      </c>
      <c r="E69" s="32">
        <v>0</v>
      </c>
      <c r="F69" s="32">
        <v>134.02315442591345</v>
      </c>
      <c r="G69" s="32">
        <v>-56</v>
      </c>
      <c r="H69" s="32">
        <v>0</v>
      </c>
      <c r="I69" s="32" t="s">
        <v>526</v>
      </c>
      <c r="J69" s="32"/>
      <c r="K69" s="32"/>
      <c r="L69" s="32">
        <v>1352.5220365469634</v>
      </c>
      <c r="M69" s="32">
        <v>0.3161424966166454</v>
      </c>
      <c r="N69" s="32">
        <v>0.29994544271028972</v>
      </c>
      <c r="O69" s="32">
        <v>0</v>
      </c>
      <c r="P69" s="32">
        <v>0</v>
      </c>
      <c r="Q69" s="32">
        <v>0</v>
      </c>
      <c r="R69" s="32">
        <v>26.726007341126671</v>
      </c>
      <c r="S69" s="32">
        <v>6.617114781704359</v>
      </c>
      <c r="T69" s="32">
        <v>55.204924224081694</v>
      </c>
      <c r="U69" s="32">
        <v>78.651105418719141</v>
      </c>
      <c r="V69" s="32" t="s">
        <v>611</v>
      </c>
      <c r="W69" s="32" t="s">
        <v>611</v>
      </c>
      <c r="X69" s="32" t="s">
        <v>611</v>
      </c>
      <c r="Y69" s="32" t="s">
        <v>611</v>
      </c>
      <c r="Z69" s="32">
        <v>0</v>
      </c>
      <c r="AA69" s="32">
        <v>0</v>
      </c>
      <c r="AB69" s="32">
        <v>0</v>
      </c>
      <c r="AC69" s="32">
        <v>-761.05827531819057</v>
      </c>
      <c r="AD69" s="32">
        <v>0</v>
      </c>
      <c r="AE69" s="32">
        <v>0</v>
      </c>
      <c r="AF69" s="32">
        <v>0</v>
      </c>
      <c r="AG69" s="32">
        <v>0</v>
      </c>
      <c r="AH69" s="32">
        <v>26.726007341126671</v>
      </c>
      <c r="AI69" s="32">
        <v>6.617114781704359</v>
      </c>
      <c r="AJ69" s="32">
        <v>55.204924224081694</v>
      </c>
      <c r="AK69" s="32">
        <v>-682.40716989947146</v>
      </c>
      <c r="AL69" s="32">
        <v>-593.85912355255869</v>
      </c>
      <c r="AM69" s="32">
        <v>648.69965497925489</v>
      </c>
      <c r="AN69" s="32">
        <v>111.70847221385941</v>
      </c>
      <c r="AO69" s="32">
        <v>76.040812719311432</v>
      </c>
      <c r="AP69" s="32">
        <v>0</v>
      </c>
      <c r="AQ69" s="32">
        <v>836.44893991242577</v>
      </c>
      <c r="AR69" s="32">
        <v>26.726007341126671</v>
      </c>
      <c r="AS69" s="383">
        <v>31.297190382241514</v>
      </c>
      <c r="AT69" s="32">
        <v>648.69965497925489</v>
      </c>
      <c r="AU69" s="32">
        <v>126.36705001567803</v>
      </c>
      <c r="AV69" s="32">
        <v>77.506670499493296</v>
      </c>
      <c r="AW69" s="32">
        <v>0</v>
      </c>
      <c r="AX69" s="32">
        <v>852.57337549442627</v>
      </c>
      <c r="AY69" s="32">
        <v>6.617114781704359</v>
      </c>
      <c r="AZ69" s="383">
        <v>128.84367335620411</v>
      </c>
      <c r="BA69" s="32">
        <v>648.69965497925489</v>
      </c>
      <c r="BB69" s="32">
        <v>238.07552222953746</v>
      </c>
      <c r="BC69" s="32">
        <v>88.677517720879237</v>
      </c>
      <c r="BD69" s="32">
        <v>0</v>
      </c>
      <c r="BE69" s="32">
        <v>975.45269492967157</v>
      </c>
      <c r="BF69" s="32">
        <v>33.343122122831033</v>
      </c>
      <c r="BG69" s="32">
        <v>-15.962486920103693</v>
      </c>
      <c r="BH69" s="383">
        <v>29.25498971980641</v>
      </c>
      <c r="BI69" s="32">
        <v>1.4539847383755364</v>
      </c>
      <c r="BJ69" s="32">
        <v>0.35999331220237979</v>
      </c>
      <c r="BK69" s="32">
        <v>3.0033336547609046</v>
      </c>
      <c r="BL69" s="32">
        <v>-37.125246495949114</v>
      </c>
      <c r="BM69" s="32">
        <v>-32.30793479061029</v>
      </c>
      <c r="BN69" s="32">
        <v>648.69965497925489</v>
      </c>
      <c r="BO69" s="32">
        <v>0</v>
      </c>
      <c r="BP69" s="32">
        <v>238.07552222953746</v>
      </c>
      <c r="BQ69" s="32">
        <v>0</v>
      </c>
      <c r="BR69" s="32">
        <v>0</v>
      </c>
      <c r="BS69" s="32">
        <v>0</v>
      </c>
      <c r="BT69" s="32">
        <v>0</v>
      </c>
      <c r="BU69" s="32">
        <v>0</v>
      </c>
      <c r="BV69" s="32">
        <v>0</v>
      </c>
      <c r="BW69" s="32">
        <v>88.677517720879237</v>
      </c>
      <c r="BX69" s="32">
        <v>167.19915176563188</v>
      </c>
      <c r="BY69" s="32"/>
      <c r="BZ69" s="32">
        <v>-761.05827531819057</v>
      </c>
      <c r="CA69" s="32">
        <v>0</v>
      </c>
      <c r="CB69" s="32">
        <v>975.45269492967157</v>
      </c>
      <c r="CC69" s="32">
        <v>-593.85912355255869</v>
      </c>
      <c r="CD69" s="383">
        <v>10.385883851145261</v>
      </c>
      <c r="CE69" s="32">
        <v>-50.084399761291891</v>
      </c>
      <c r="CF69" s="32">
        <v>12.849018816081845</v>
      </c>
      <c r="CG69" s="32">
        <v>0</v>
      </c>
      <c r="CH69" s="32">
        <v>12.849018816081845</v>
      </c>
      <c r="CI69" s="32">
        <v>0.64244796735980758</v>
      </c>
      <c r="CJ69" s="32">
        <v>0</v>
      </c>
      <c r="CK69" s="32">
        <v>0.64244796735980758</v>
      </c>
      <c r="CL69" s="32"/>
      <c r="CM69" s="32">
        <v>0</v>
      </c>
      <c r="CN69" s="32"/>
      <c r="CO69" s="32">
        <v>0</v>
      </c>
      <c r="CP69" s="32">
        <v>0</v>
      </c>
      <c r="CQ69" s="32">
        <v>0</v>
      </c>
      <c r="CR69" s="32">
        <v>0</v>
      </c>
      <c r="CS69" s="32">
        <v>0</v>
      </c>
      <c r="CT69" s="32">
        <v>0</v>
      </c>
      <c r="CU69" s="32">
        <v>55.204924224081694</v>
      </c>
      <c r="CV69" s="32">
        <v>9999</v>
      </c>
      <c r="CW69" s="384">
        <v>0</v>
      </c>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row>
    <row r="70" spans="1:131">
      <c r="A70" s="11" t="s">
        <v>872</v>
      </c>
      <c r="B70" s="11" t="s">
        <v>872</v>
      </c>
      <c r="C70" s="32">
        <v>16.279069767441861</v>
      </c>
      <c r="D70" s="32">
        <v>2919.7</v>
      </c>
      <c r="E70" s="32">
        <v>0</v>
      </c>
      <c r="F70" s="32">
        <v>532.0694632777404</v>
      </c>
      <c r="G70" s="32">
        <v>0</v>
      </c>
      <c r="H70" s="32">
        <v>-180.63247392019312</v>
      </c>
      <c r="I70" s="32" t="s">
        <v>526</v>
      </c>
      <c r="J70" s="32"/>
      <c r="K70" s="32"/>
      <c r="L70" s="32">
        <v>3303.4620964582305</v>
      </c>
      <c r="M70" s="32">
        <v>0.77216098993777771</v>
      </c>
      <c r="N70" s="32">
        <v>0.73260055971326143</v>
      </c>
      <c r="O70" s="32">
        <v>0</v>
      </c>
      <c r="P70" s="32">
        <v>0</v>
      </c>
      <c r="Q70" s="32">
        <v>0</v>
      </c>
      <c r="R70" s="32">
        <v>106.10175862866241</v>
      </c>
      <c r="S70" s="32">
        <v>26.269824236191074</v>
      </c>
      <c r="T70" s="32">
        <v>219.16253596636892</v>
      </c>
      <c r="U70" s="32">
        <v>312.24344498973795</v>
      </c>
      <c r="V70" s="32" t="s">
        <v>611</v>
      </c>
      <c r="W70" s="32" t="s">
        <v>611</v>
      </c>
      <c r="X70" s="32" t="s">
        <v>611</v>
      </c>
      <c r="Y70" s="32" t="s">
        <v>611</v>
      </c>
      <c r="Z70" s="32">
        <v>0</v>
      </c>
      <c r="AA70" s="32">
        <v>0</v>
      </c>
      <c r="AB70" s="32">
        <v>0</v>
      </c>
      <c r="AC70" s="32">
        <v>0</v>
      </c>
      <c r="AD70" s="32">
        <v>0</v>
      </c>
      <c r="AE70" s="32">
        <v>0</v>
      </c>
      <c r="AF70" s="32">
        <v>0</v>
      </c>
      <c r="AG70" s="32">
        <v>-180.63247392019312</v>
      </c>
      <c r="AH70" s="32">
        <v>106.10175862866241</v>
      </c>
      <c r="AI70" s="32">
        <v>26.269824236191074</v>
      </c>
      <c r="AJ70" s="32">
        <v>219.16253596636892</v>
      </c>
      <c r="AK70" s="32">
        <v>131.61097106954483</v>
      </c>
      <c r="AL70" s="32">
        <v>483.14508990076718</v>
      </c>
      <c r="AM70" s="32">
        <v>1584.4139055068827</v>
      </c>
      <c r="AN70" s="32">
        <v>272.84191594680038</v>
      </c>
      <c r="AO70" s="32">
        <v>185.72558214536832</v>
      </c>
      <c r="AP70" s="32">
        <v>0</v>
      </c>
      <c r="AQ70" s="32">
        <v>2042.9814035990512</v>
      </c>
      <c r="AR70" s="32">
        <v>106.10175862866241</v>
      </c>
      <c r="AS70" s="383">
        <v>19.254924989029906</v>
      </c>
      <c r="AT70" s="32">
        <v>1584.4139055068827</v>
      </c>
      <c r="AU70" s="32">
        <v>308.64470129728545</v>
      </c>
      <c r="AV70" s="32">
        <v>189.30586068041683</v>
      </c>
      <c r="AW70" s="32">
        <v>0</v>
      </c>
      <c r="AX70" s="32">
        <v>2082.364467484585</v>
      </c>
      <c r="AY70" s="32">
        <v>26.269824236191074</v>
      </c>
      <c r="AZ70" s="383">
        <v>79.268306051921726</v>
      </c>
      <c r="BA70" s="32">
        <v>1584.4139055068827</v>
      </c>
      <c r="BB70" s="32">
        <v>581.48661724408589</v>
      </c>
      <c r="BC70" s="32">
        <v>216.59005227509687</v>
      </c>
      <c r="BD70" s="32">
        <v>0</v>
      </c>
      <c r="BE70" s="32">
        <v>2382.490575026065</v>
      </c>
      <c r="BF70" s="32">
        <v>132.37158286485348</v>
      </c>
      <c r="BG70" s="32">
        <v>-14.828002879528855</v>
      </c>
      <c r="BH70" s="383">
        <v>17.99850484116746</v>
      </c>
      <c r="BI70" s="32">
        <v>2.3633245621958339</v>
      </c>
      <c r="BJ70" s="32">
        <v>0.58513752895690763</v>
      </c>
      <c r="BK70" s="32">
        <v>4.88165522472808</v>
      </c>
      <c r="BL70" s="32">
        <v>2.9315201237303166</v>
      </c>
      <c r="BM70" s="32">
        <v>10.761637439611137</v>
      </c>
      <c r="BN70" s="32">
        <v>1584.4139055068827</v>
      </c>
      <c r="BO70" s="32">
        <v>0</v>
      </c>
      <c r="BP70" s="32">
        <v>581.48661724408589</v>
      </c>
      <c r="BQ70" s="32">
        <v>0</v>
      </c>
      <c r="BR70" s="32">
        <v>0</v>
      </c>
      <c r="BS70" s="32">
        <v>0</v>
      </c>
      <c r="BT70" s="32">
        <v>0</v>
      </c>
      <c r="BU70" s="32">
        <v>0</v>
      </c>
      <c r="BV70" s="32">
        <v>0</v>
      </c>
      <c r="BW70" s="32">
        <v>216.59005227509687</v>
      </c>
      <c r="BX70" s="32">
        <v>663.77756382096027</v>
      </c>
      <c r="BY70" s="32"/>
      <c r="BZ70" s="32">
        <v>0</v>
      </c>
      <c r="CA70" s="32">
        <v>-180.63247392019312</v>
      </c>
      <c r="CB70" s="32">
        <v>2382.490575026065</v>
      </c>
      <c r="CC70" s="32">
        <v>483.14508990076718</v>
      </c>
      <c r="CD70" s="383">
        <v>3.861418626733828</v>
      </c>
      <c r="CE70" s="32">
        <v>-7.0148275310704538</v>
      </c>
      <c r="CF70" s="32">
        <v>31.383035165897827</v>
      </c>
      <c r="CG70" s="32">
        <v>0</v>
      </c>
      <c r="CH70" s="32">
        <v>31.383035165897827</v>
      </c>
      <c r="CI70" s="32">
        <v>1.5691444958176588</v>
      </c>
      <c r="CJ70" s="32">
        <v>0</v>
      </c>
      <c r="CK70" s="32">
        <v>1.5691444958176588</v>
      </c>
      <c r="CL70" s="32"/>
      <c r="CM70" s="32">
        <v>0</v>
      </c>
      <c r="CN70" s="32"/>
      <c r="CO70" s="32">
        <v>0</v>
      </c>
      <c r="CP70" s="32">
        <v>0</v>
      </c>
      <c r="CQ70" s="32">
        <v>0</v>
      </c>
      <c r="CR70" s="32">
        <v>0</v>
      </c>
      <c r="CS70" s="32">
        <v>0</v>
      </c>
      <c r="CT70" s="32">
        <v>0</v>
      </c>
      <c r="CU70" s="32">
        <v>219.16253596636892</v>
      </c>
      <c r="CV70" s="32">
        <v>9999</v>
      </c>
      <c r="CW70" s="384">
        <v>0</v>
      </c>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row>
    <row r="71" spans="1:131">
      <c r="A71" s="11" t="s">
        <v>873</v>
      </c>
      <c r="B71" s="11" t="s">
        <v>873</v>
      </c>
      <c r="C71" s="32">
        <v>16.279069767441861</v>
      </c>
      <c r="D71" s="32">
        <v>2919.7</v>
      </c>
      <c r="E71" s="32">
        <v>0</v>
      </c>
      <c r="F71" s="32">
        <v>532.0694632777404</v>
      </c>
      <c r="G71" s="32">
        <v>-56</v>
      </c>
      <c r="H71" s="32">
        <v>0</v>
      </c>
      <c r="I71" s="32" t="s">
        <v>526</v>
      </c>
      <c r="J71" s="32"/>
      <c r="K71" s="32"/>
      <c r="L71" s="32">
        <v>3303.4620964582305</v>
      </c>
      <c r="M71" s="32">
        <v>0.77216098993777771</v>
      </c>
      <c r="N71" s="32">
        <v>0.73260055971326143</v>
      </c>
      <c r="O71" s="32">
        <v>0</v>
      </c>
      <c r="P71" s="32">
        <v>0</v>
      </c>
      <c r="Q71" s="32">
        <v>0</v>
      </c>
      <c r="R71" s="32">
        <v>106.10175862866241</v>
      </c>
      <c r="S71" s="32">
        <v>26.269824236191074</v>
      </c>
      <c r="T71" s="32">
        <v>219.16253596636892</v>
      </c>
      <c r="U71" s="32">
        <v>312.24344498973795</v>
      </c>
      <c r="V71" s="32" t="s">
        <v>611</v>
      </c>
      <c r="W71" s="32" t="s">
        <v>611</v>
      </c>
      <c r="X71" s="32" t="s">
        <v>611</v>
      </c>
      <c r="Y71" s="32" t="s">
        <v>611</v>
      </c>
      <c r="Z71" s="32">
        <v>0</v>
      </c>
      <c r="AA71" s="32">
        <v>0</v>
      </c>
      <c r="AB71" s="32">
        <v>0</v>
      </c>
      <c r="AC71" s="32">
        <v>-761.05827531819057</v>
      </c>
      <c r="AD71" s="32">
        <v>0</v>
      </c>
      <c r="AE71" s="32">
        <v>0</v>
      </c>
      <c r="AF71" s="32">
        <v>0</v>
      </c>
      <c r="AG71" s="32">
        <v>0</v>
      </c>
      <c r="AH71" s="32">
        <v>106.10175862866241</v>
      </c>
      <c r="AI71" s="32">
        <v>26.269824236191074</v>
      </c>
      <c r="AJ71" s="32">
        <v>219.16253596636892</v>
      </c>
      <c r="AK71" s="32">
        <v>-448.81483032845262</v>
      </c>
      <c r="AL71" s="32">
        <v>-97.280711497230243</v>
      </c>
      <c r="AM71" s="32">
        <v>1584.4139055068827</v>
      </c>
      <c r="AN71" s="32">
        <v>272.84191594680038</v>
      </c>
      <c r="AO71" s="32">
        <v>185.72558214536832</v>
      </c>
      <c r="AP71" s="32">
        <v>0</v>
      </c>
      <c r="AQ71" s="32">
        <v>2042.9814035990512</v>
      </c>
      <c r="AR71" s="32">
        <v>106.10175862866241</v>
      </c>
      <c r="AS71" s="383">
        <v>19.254924989029906</v>
      </c>
      <c r="AT71" s="32">
        <v>1584.4139055068827</v>
      </c>
      <c r="AU71" s="32">
        <v>308.64470129728545</v>
      </c>
      <c r="AV71" s="32">
        <v>189.30586068041683</v>
      </c>
      <c r="AW71" s="32">
        <v>0</v>
      </c>
      <c r="AX71" s="32">
        <v>2082.364467484585</v>
      </c>
      <c r="AY71" s="32">
        <v>26.269824236191074</v>
      </c>
      <c r="AZ71" s="383">
        <v>79.268306051921726</v>
      </c>
      <c r="BA71" s="32">
        <v>1584.4139055068827</v>
      </c>
      <c r="BB71" s="32">
        <v>581.48661724408589</v>
      </c>
      <c r="BC71" s="32">
        <v>216.59005227509687</v>
      </c>
      <c r="BD71" s="32">
        <v>0</v>
      </c>
      <c r="BE71" s="32">
        <v>2382.490575026065</v>
      </c>
      <c r="BF71" s="32">
        <v>132.37158286485348</v>
      </c>
      <c r="BG71" s="32">
        <v>-14.828002879528855</v>
      </c>
      <c r="BH71" s="383">
        <v>17.99850484116746</v>
      </c>
      <c r="BI71" s="32">
        <v>2.3633245621958339</v>
      </c>
      <c r="BJ71" s="32">
        <v>0.58513752895690763</v>
      </c>
      <c r="BK71" s="32">
        <v>4.88165522472808</v>
      </c>
      <c r="BL71" s="32">
        <v>-9.9969607111342516</v>
      </c>
      <c r="BM71" s="32">
        <v>-2.1668433952534309</v>
      </c>
      <c r="BN71" s="32">
        <v>1584.4139055068827</v>
      </c>
      <c r="BO71" s="32">
        <v>0</v>
      </c>
      <c r="BP71" s="32">
        <v>581.48661724408589</v>
      </c>
      <c r="BQ71" s="32">
        <v>0</v>
      </c>
      <c r="BR71" s="32">
        <v>0</v>
      </c>
      <c r="BS71" s="32">
        <v>0</v>
      </c>
      <c r="BT71" s="32">
        <v>0</v>
      </c>
      <c r="BU71" s="32">
        <v>0</v>
      </c>
      <c r="BV71" s="32">
        <v>0</v>
      </c>
      <c r="BW71" s="32">
        <v>216.59005227509687</v>
      </c>
      <c r="BX71" s="32">
        <v>663.77756382096027</v>
      </c>
      <c r="BY71" s="32"/>
      <c r="BZ71" s="32">
        <v>-761.05827531819057</v>
      </c>
      <c r="CA71" s="32">
        <v>0</v>
      </c>
      <c r="CB71" s="32">
        <v>2382.490575026065</v>
      </c>
      <c r="CC71" s="32">
        <v>-97.2807114972303</v>
      </c>
      <c r="CD71" s="383">
        <v>4.7358467982086845</v>
      </c>
      <c r="CE71" s="32">
        <v>-19.943308365935021</v>
      </c>
      <c r="CF71" s="32">
        <v>31.383035165897827</v>
      </c>
      <c r="CG71" s="32">
        <v>0</v>
      </c>
      <c r="CH71" s="32">
        <v>31.383035165897827</v>
      </c>
      <c r="CI71" s="32">
        <v>1.5691444958176588</v>
      </c>
      <c r="CJ71" s="32">
        <v>0</v>
      </c>
      <c r="CK71" s="32">
        <v>1.5691444958176588</v>
      </c>
      <c r="CL71" s="32"/>
      <c r="CM71" s="32">
        <v>0</v>
      </c>
      <c r="CN71" s="32"/>
      <c r="CO71" s="32">
        <v>0</v>
      </c>
      <c r="CP71" s="32">
        <v>0</v>
      </c>
      <c r="CQ71" s="32">
        <v>0</v>
      </c>
      <c r="CR71" s="32">
        <v>0</v>
      </c>
      <c r="CS71" s="32">
        <v>0</v>
      </c>
      <c r="CT71" s="32">
        <v>0</v>
      </c>
      <c r="CU71" s="32">
        <v>219.16253596636892</v>
      </c>
      <c r="CV71" s="32">
        <v>9999</v>
      </c>
      <c r="CW71" s="384">
        <v>0</v>
      </c>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row>
    <row r="72" spans="1:131">
      <c r="A72" s="11" t="s">
        <v>531</v>
      </c>
      <c r="B72" s="11" t="s">
        <v>531</v>
      </c>
      <c r="C72" s="32">
        <v>16.279069767441861</v>
      </c>
      <c r="D72" s="32">
        <v>339.69999999999993</v>
      </c>
      <c r="E72" s="32">
        <v>0</v>
      </c>
      <c r="F72" s="32">
        <v>113.40810404906972</v>
      </c>
      <c r="G72" s="32">
        <v>0</v>
      </c>
      <c r="H72" s="32">
        <v>-151.98287973940262</v>
      </c>
      <c r="I72" s="32" t="s">
        <v>526</v>
      </c>
      <c r="J72" s="32"/>
      <c r="K72" s="32"/>
      <c r="L72" s="32">
        <v>384.34978736406504</v>
      </c>
      <c r="M72" s="32">
        <v>8.9839054793938777E-2</v>
      </c>
      <c r="N72" s="32">
        <v>8.523629487090964E-2</v>
      </c>
      <c r="O72" s="32">
        <v>0</v>
      </c>
      <c r="P72" s="32">
        <v>0</v>
      </c>
      <c r="Q72" s="32">
        <v>0</v>
      </c>
      <c r="R72" s="32">
        <v>22.61509090978879</v>
      </c>
      <c r="S72" s="32">
        <v>5.5992895024941172</v>
      </c>
      <c r="T72" s="32">
        <v>46.713463932730413</v>
      </c>
      <c r="U72" s="32">
        <v>66.553221979498687</v>
      </c>
      <c r="V72" s="32" t="s">
        <v>611</v>
      </c>
      <c r="W72" s="32" t="s">
        <v>611</v>
      </c>
      <c r="X72" s="32" t="s">
        <v>611</v>
      </c>
      <c r="Y72" s="32" t="s">
        <v>611</v>
      </c>
      <c r="Z72" s="32">
        <v>0</v>
      </c>
      <c r="AA72" s="32">
        <v>0</v>
      </c>
      <c r="AB72" s="32">
        <v>0</v>
      </c>
      <c r="AC72" s="32">
        <v>0</v>
      </c>
      <c r="AD72" s="32">
        <v>0</v>
      </c>
      <c r="AE72" s="32">
        <v>0</v>
      </c>
      <c r="AF72" s="32">
        <v>0</v>
      </c>
      <c r="AG72" s="32">
        <v>-151.98287973940262</v>
      </c>
      <c r="AH72" s="32">
        <v>22.61509090978879</v>
      </c>
      <c r="AI72" s="32">
        <v>5.5992895024941172</v>
      </c>
      <c r="AJ72" s="32">
        <v>46.713463932730413</v>
      </c>
      <c r="AK72" s="32">
        <v>-85.429657759903932</v>
      </c>
      <c r="AL72" s="32">
        <v>-10.50181341489062</v>
      </c>
      <c r="AM72" s="32">
        <v>184.34270770993186</v>
      </c>
      <c r="AN72" s="32">
        <v>31.744493902499592</v>
      </c>
      <c r="AO72" s="32">
        <v>21.608720161243145</v>
      </c>
      <c r="AP72" s="32">
        <v>0</v>
      </c>
      <c r="AQ72" s="32">
        <v>237.6959217736746</v>
      </c>
      <c r="AR72" s="32">
        <v>22.61509090978879</v>
      </c>
      <c r="AS72" s="383">
        <v>10.510500387632291</v>
      </c>
      <c r="AT72" s="32">
        <v>184.34270770993186</v>
      </c>
      <c r="AU72" s="32">
        <v>35.910060975678277</v>
      </c>
      <c r="AV72" s="32">
        <v>22.025276868561015</v>
      </c>
      <c r="AW72" s="32">
        <v>0</v>
      </c>
      <c r="AX72" s="32">
        <v>242.27804555417114</v>
      </c>
      <c r="AY72" s="32">
        <v>5.5992895024941172</v>
      </c>
      <c r="AZ72" s="383">
        <v>43.269426495317333</v>
      </c>
      <c r="BA72" s="32">
        <v>184.34270770993186</v>
      </c>
      <c r="BB72" s="32">
        <v>67.654554878177862</v>
      </c>
      <c r="BC72" s="32">
        <v>25.199726258810973</v>
      </c>
      <c r="BD72" s="32">
        <v>0</v>
      </c>
      <c r="BE72" s="32">
        <v>277.1969888469207</v>
      </c>
      <c r="BF72" s="32">
        <v>28.214380412282907</v>
      </c>
      <c r="BG72" s="32">
        <v>-12.374969865372588</v>
      </c>
      <c r="BH72" s="383">
        <v>9.8246704267957341</v>
      </c>
      <c r="BI72" s="32">
        <v>4.3295405063073131</v>
      </c>
      <c r="BJ72" s="32">
        <v>1.0719545990016988</v>
      </c>
      <c r="BK72" s="32">
        <v>8.9430475912498064</v>
      </c>
      <c r="BL72" s="32">
        <v>-16.355059777866234</v>
      </c>
      <c r="BM72" s="32">
        <v>-2.0105170813074174</v>
      </c>
      <c r="BN72" s="32">
        <v>184.34270770993186</v>
      </c>
      <c r="BO72" s="32">
        <v>0</v>
      </c>
      <c r="BP72" s="32">
        <v>67.654554878177862</v>
      </c>
      <c r="BQ72" s="32">
        <v>0</v>
      </c>
      <c r="BR72" s="32">
        <v>0</v>
      </c>
      <c r="BS72" s="32">
        <v>0</v>
      </c>
      <c r="BT72" s="32">
        <v>0</v>
      </c>
      <c r="BU72" s="32">
        <v>0</v>
      </c>
      <c r="BV72" s="32">
        <v>0</v>
      </c>
      <c r="BW72" s="32">
        <v>25.199726258810973</v>
      </c>
      <c r="BX72" s="32">
        <v>141.481066324512</v>
      </c>
      <c r="BY72" s="32"/>
      <c r="BZ72" s="32">
        <v>0</v>
      </c>
      <c r="CA72" s="32">
        <v>-151.98287973940262</v>
      </c>
      <c r="CB72" s="32">
        <v>277.1969888469207</v>
      </c>
      <c r="CC72" s="32">
        <v>-10.50181341489062</v>
      </c>
      <c r="CD72" s="383">
        <v>3.0334791766547964</v>
      </c>
      <c r="CE72" s="32">
        <v>-19.786982051989021</v>
      </c>
      <c r="CF72" s="32">
        <v>3.6513398793901684</v>
      </c>
      <c r="CG72" s="32">
        <v>0</v>
      </c>
      <c r="CH72" s="32">
        <v>3.6513398793901684</v>
      </c>
      <c r="CI72" s="32">
        <v>0.18256614899793089</v>
      </c>
      <c r="CJ72" s="32">
        <v>0</v>
      </c>
      <c r="CK72" s="32">
        <v>0.18256614899793089</v>
      </c>
      <c r="CL72" s="32"/>
      <c r="CM72" s="32">
        <v>0</v>
      </c>
      <c r="CN72" s="32"/>
      <c r="CO72" s="32">
        <v>0</v>
      </c>
      <c r="CP72" s="32">
        <v>0</v>
      </c>
      <c r="CQ72" s="32">
        <v>0</v>
      </c>
      <c r="CR72" s="32">
        <v>0</v>
      </c>
      <c r="CS72" s="32">
        <v>0</v>
      </c>
      <c r="CT72" s="32">
        <v>0</v>
      </c>
      <c r="CU72" s="32">
        <v>46.713463932730413</v>
      </c>
      <c r="CV72" s="32">
        <v>9999</v>
      </c>
      <c r="CW72" s="384">
        <v>0</v>
      </c>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row>
    <row r="73" spans="1:131">
      <c r="A73" s="11" t="s">
        <v>532</v>
      </c>
      <c r="B73" s="11" t="s">
        <v>532</v>
      </c>
      <c r="C73" s="32">
        <v>16.279069767441861</v>
      </c>
      <c r="D73" s="32">
        <v>339.69999999999993</v>
      </c>
      <c r="E73" s="32">
        <v>0</v>
      </c>
      <c r="F73" s="32">
        <v>113.40810404906972</v>
      </c>
      <c r="G73" s="32">
        <v>-56</v>
      </c>
      <c r="H73" s="32">
        <v>0</v>
      </c>
      <c r="I73" s="32" t="s">
        <v>526</v>
      </c>
      <c r="J73" s="32"/>
      <c r="K73" s="32"/>
      <c r="L73" s="32">
        <v>384.34978736406504</v>
      </c>
      <c r="M73" s="32">
        <v>8.9839054793938777E-2</v>
      </c>
      <c r="N73" s="32">
        <v>8.523629487090964E-2</v>
      </c>
      <c r="O73" s="32">
        <v>0</v>
      </c>
      <c r="P73" s="32">
        <v>0</v>
      </c>
      <c r="Q73" s="32">
        <v>0</v>
      </c>
      <c r="R73" s="32">
        <v>22.61509090978879</v>
      </c>
      <c r="S73" s="32">
        <v>5.5992895024941172</v>
      </c>
      <c r="T73" s="32">
        <v>46.713463932730413</v>
      </c>
      <c r="U73" s="32">
        <v>66.553221979498687</v>
      </c>
      <c r="V73" s="32" t="s">
        <v>611</v>
      </c>
      <c r="W73" s="32" t="s">
        <v>611</v>
      </c>
      <c r="X73" s="32" t="s">
        <v>611</v>
      </c>
      <c r="Y73" s="32" t="s">
        <v>611</v>
      </c>
      <c r="Z73" s="32">
        <v>0</v>
      </c>
      <c r="AA73" s="32">
        <v>0</v>
      </c>
      <c r="AB73" s="32">
        <v>0</v>
      </c>
      <c r="AC73" s="32">
        <v>-761.05827531819057</v>
      </c>
      <c r="AD73" s="32">
        <v>0</v>
      </c>
      <c r="AE73" s="32">
        <v>0</v>
      </c>
      <c r="AF73" s="32">
        <v>0</v>
      </c>
      <c r="AG73" s="32">
        <v>0</v>
      </c>
      <c r="AH73" s="32">
        <v>22.61509090978879</v>
      </c>
      <c r="AI73" s="32">
        <v>5.5992895024941172</v>
      </c>
      <c r="AJ73" s="32">
        <v>46.713463932730413</v>
      </c>
      <c r="AK73" s="32">
        <v>-694.50505333869182</v>
      </c>
      <c r="AL73" s="32">
        <v>-619.5772089936786</v>
      </c>
      <c r="AM73" s="32">
        <v>184.34270770993186</v>
      </c>
      <c r="AN73" s="32">
        <v>31.744493902499592</v>
      </c>
      <c r="AO73" s="32">
        <v>21.608720161243145</v>
      </c>
      <c r="AP73" s="32">
        <v>0</v>
      </c>
      <c r="AQ73" s="32">
        <v>237.6959217736746</v>
      </c>
      <c r="AR73" s="32">
        <v>22.61509090978879</v>
      </c>
      <c r="AS73" s="383">
        <v>10.510500387632291</v>
      </c>
      <c r="AT73" s="32">
        <v>184.34270770993186</v>
      </c>
      <c r="AU73" s="32">
        <v>35.910060975678277</v>
      </c>
      <c r="AV73" s="32">
        <v>22.025276868561015</v>
      </c>
      <c r="AW73" s="32">
        <v>0</v>
      </c>
      <c r="AX73" s="32">
        <v>242.27804555417114</v>
      </c>
      <c r="AY73" s="32">
        <v>5.5992895024941172</v>
      </c>
      <c r="AZ73" s="383">
        <v>43.269426495317333</v>
      </c>
      <c r="BA73" s="32">
        <v>184.34270770993186</v>
      </c>
      <c r="BB73" s="32">
        <v>67.654554878177862</v>
      </c>
      <c r="BC73" s="32">
        <v>25.199726258810973</v>
      </c>
      <c r="BD73" s="32">
        <v>0</v>
      </c>
      <c r="BE73" s="32">
        <v>277.1969888469207</v>
      </c>
      <c r="BF73" s="32">
        <v>28.214380412282907</v>
      </c>
      <c r="BG73" s="32">
        <v>-12.374969865372588</v>
      </c>
      <c r="BH73" s="383">
        <v>9.8246704267957341</v>
      </c>
      <c r="BI73" s="32">
        <v>4.3295405063073131</v>
      </c>
      <c r="BJ73" s="32">
        <v>1.0719545990016988</v>
      </c>
      <c r="BK73" s="32">
        <v>8.9430475912498064</v>
      </c>
      <c r="BL73" s="32">
        <v>-132.95934879322004</v>
      </c>
      <c r="BM73" s="32">
        <v>-118.61480609666123</v>
      </c>
      <c r="BN73" s="32">
        <v>184.34270770993186</v>
      </c>
      <c r="BO73" s="32">
        <v>0</v>
      </c>
      <c r="BP73" s="32">
        <v>67.654554878177862</v>
      </c>
      <c r="BQ73" s="32">
        <v>0</v>
      </c>
      <c r="BR73" s="32">
        <v>0</v>
      </c>
      <c r="BS73" s="32">
        <v>0</v>
      </c>
      <c r="BT73" s="32">
        <v>0</v>
      </c>
      <c r="BU73" s="32">
        <v>0</v>
      </c>
      <c r="BV73" s="32">
        <v>0</v>
      </c>
      <c r="BW73" s="32">
        <v>25.199726258810973</v>
      </c>
      <c r="BX73" s="32">
        <v>141.481066324512</v>
      </c>
      <c r="BY73" s="32"/>
      <c r="BZ73" s="32">
        <v>-761.05827531819057</v>
      </c>
      <c r="CA73" s="32">
        <v>0</v>
      </c>
      <c r="CB73" s="32">
        <v>277.1969888469207</v>
      </c>
      <c r="CC73" s="32">
        <v>-619.5772089936786</v>
      </c>
      <c r="CD73" s="383">
        <v>7.3384749715109452</v>
      </c>
      <c r="CE73" s="32">
        <v>-136.39127106734284</v>
      </c>
      <c r="CF73" s="32">
        <v>3.6513398793901684</v>
      </c>
      <c r="CG73" s="32">
        <v>0</v>
      </c>
      <c r="CH73" s="32">
        <v>3.6513398793901684</v>
      </c>
      <c r="CI73" s="32">
        <v>0.18256614899793089</v>
      </c>
      <c r="CJ73" s="32">
        <v>0</v>
      </c>
      <c r="CK73" s="32">
        <v>0.18256614899793089</v>
      </c>
      <c r="CL73" s="32"/>
      <c r="CM73" s="32">
        <v>0</v>
      </c>
      <c r="CN73" s="32"/>
      <c r="CO73" s="32">
        <v>0</v>
      </c>
      <c r="CP73" s="32">
        <v>0</v>
      </c>
      <c r="CQ73" s="32">
        <v>0</v>
      </c>
      <c r="CR73" s="32">
        <v>0</v>
      </c>
      <c r="CS73" s="32">
        <v>0</v>
      </c>
      <c r="CT73" s="32">
        <v>0</v>
      </c>
      <c r="CU73" s="32">
        <v>46.713463932730413</v>
      </c>
      <c r="CV73" s="32">
        <v>9999</v>
      </c>
      <c r="CW73" s="384">
        <v>0</v>
      </c>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row>
    <row r="74" spans="1:131">
      <c r="A74" s="11" t="s">
        <v>533</v>
      </c>
      <c r="B74" s="11" t="s">
        <v>533</v>
      </c>
      <c r="C74" s="32">
        <v>16.279069767441861</v>
      </c>
      <c r="D74" s="32">
        <v>270.89999999999998</v>
      </c>
      <c r="E74" s="32">
        <v>0</v>
      </c>
      <c r="F74" s="32">
        <v>113.40810404906972</v>
      </c>
      <c r="G74" s="32">
        <v>0</v>
      </c>
      <c r="H74" s="32">
        <v>-151.98287973940262</v>
      </c>
      <c r="I74" s="32" t="s">
        <v>526</v>
      </c>
      <c r="J74" s="32"/>
      <c r="K74" s="32"/>
      <c r="L74" s="32">
        <v>306.50679245488732</v>
      </c>
      <c r="M74" s="32">
        <v>7.1643803190103078E-2</v>
      </c>
      <c r="N74" s="32">
        <v>6.7973247808446935E-2</v>
      </c>
      <c r="O74" s="32">
        <v>0</v>
      </c>
      <c r="P74" s="32">
        <v>0</v>
      </c>
      <c r="Q74" s="32">
        <v>0</v>
      </c>
      <c r="R74" s="32">
        <v>22.61509090978879</v>
      </c>
      <c r="S74" s="32">
        <v>5.5992895024941172</v>
      </c>
      <c r="T74" s="32">
        <v>46.713463932730413</v>
      </c>
      <c r="U74" s="32">
        <v>66.553221979498687</v>
      </c>
      <c r="V74" s="32" t="s">
        <v>611</v>
      </c>
      <c r="W74" s="32" t="s">
        <v>611</v>
      </c>
      <c r="X74" s="32" t="s">
        <v>611</v>
      </c>
      <c r="Y74" s="32" t="s">
        <v>611</v>
      </c>
      <c r="Z74" s="32">
        <v>0</v>
      </c>
      <c r="AA74" s="32">
        <v>0</v>
      </c>
      <c r="AB74" s="32">
        <v>0</v>
      </c>
      <c r="AC74" s="32">
        <v>0</v>
      </c>
      <c r="AD74" s="32">
        <v>0</v>
      </c>
      <c r="AE74" s="32">
        <v>0</v>
      </c>
      <c r="AF74" s="32">
        <v>0</v>
      </c>
      <c r="AG74" s="32">
        <v>-151.98287973940262</v>
      </c>
      <c r="AH74" s="32">
        <v>22.61509090978879</v>
      </c>
      <c r="AI74" s="32">
        <v>5.5992895024941172</v>
      </c>
      <c r="AJ74" s="32">
        <v>46.713463932730413</v>
      </c>
      <c r="AK74" s="32">
        <v>-85.429657759903932</v>
      </c>
      <c r="AL74" s="32">
        <v>-10.50181341489062</v>
      </c>
      <c r="AM74" s="32">
        <v>147.00747576868</v>
      </c>
      <c r="AN74" s="32">
        <v>25.315229314651578</v>
      </c>
      <c r="AO74" s="32">
        <v>17.232270508333158</v>
      </c>
      <c r="AP74" s="32">
        <v>0</v>
      </c>
      <c r="AQ74" s="32">
        <v>189.55497559166474</v>
      </c>
      <c r="AR74" s="32">
        <v>22.61509090978879</v>
      </c>
      <c r="AS74" s="383">
        <v>8.381791448365</v>
      </c>
      <c r="AT74" s="32">
        <v>147.00747576868</v>
      </c>
      <c r="AU74" s="32">
        <v>28.637137233768751</v>
      </c>
      <c r="AV74" s="32">
        <v>17.564461300244876</v>
      </c>
      <c r="AW74" s="32">
        <v>0</v>
      </c>
      <c r="AX74" s="32">
        <v>193.20907430269364</v>
      </c>
      <c r="AY74" s="32">
        <v>5.5992895024941172</v>
      </c>
      <c r="AZ74" s="383">
        <v>34.505998344367022</v>
      </c>
      <c r="BA74" s="32">
        <v>147.00747576868</v>
      </c>
      <c r="BB74" s="32">
        <v>53.952366548420329</v>
      </c>
      <c r="BC74" s="32">
        <v>20.095984231710034</v>
      </c>
      <c r="BD74" s="32">
        <v>0</v>
      </c>
      <c r="BE74" s="32">
        <v>221.05582654881039</v>
      </c>
      <c r="BF74" s="32">
        <v>28.214380412282907</v>
      </c>
      <c r="BG74" s="32">
        <v>-11.0031615846592</v>
      </c>
      <c r="BH74" s="383">
        <v>7.8348637580776179</v>
      </c>
      <c r="BI74" s="32">
        <v>5.4291063491790119</v>
      </c>
      <c r="BJ74" s="32">
        <v>1.3441970368434002</v>
      </c>
      <c r="BK74" s="32">
        <v>11.21429777315452</v>
      </c>
      <c r="BL74" s="32">
        <v>-20.508725753197343</v>
      </c>
      <c r="BM74" s="32">
        <v>-2.5211245940204128</v>
      </c>
      <c r="BN74" s="32">
        <v>147.00747576868</v>
      </c>
      <c r="BO74" s="32">
        <v>0</v>
      </c>
      <c r="BP74" s="32">
        <v>53.952366548420329</v>
      </c>
      <c r="BQ74" s="32">
        <v>0</v>
      </c>
      <c r="BR74" s="32">
        <v>0</v>
      </c>
      <c r="BS74" s="32">
        <v>0</v>
      </c>
      <c r="BT74" s="32">
        <v>0</v>
      </c>
      <c r="BU74" s="32">
        <v>0</v>
      </c>
      <c r="BV74" s="32">
        <v>0</v>
      </c>
      <c r="BW74" s="32">
        <v>20.095984231710034</v>
      </c>
      <c r="BX74" s="32">
        <v>141.481066324512</v>
      </c>
      <c r="BY74" s="32"/>
      <c r="BZ74" s="32">
        <v>0</v>
      </c>
      <c r="CA74" s="32">
        <v>-151.98287973940262</v>
      </c>
      <c r="CB74" s="32">
        <v>221.05582654881036</v>
      </c>
      <c r="CC74" s="32">
        <v>-10.50181341489062</v>
      </c>
      <c r="CD74" s="383">
        <v>2.6366687499554344</v>
      </c>
      <c r="CE74" s="32">
        <v>-20.297589564702019</v>
      </c>
      <c r="CF74" s="32">
        <v>2.9118280050832959</v>
      </c>
      <c r="CG74" s="32">
        <v>0</v>
      </c>
      <c r="CH74" s="32">
        <v>2.9118280050832959</v>
      </c>
      <c r="CI74" s="32">
        <v>0.14559072641607146</v>
      </c>
      <c r="CJ74" s="32">
        <v>0</v>
      </c>
      <c r="CK74" s="32">
        <v>0.14559072641607146</v>
      </c>
      <c r="CL74" s="32"/>
      <c r="CM74" s="32">
        <v>0</v>
      </c>
      <c r="CN74" s="32"/>
      <c r="CO74" s="32">
        <v>0</v>
      </c>
      <c r="CP74" s="32">
        <v>0</v>
      </c>
      <c r="CQ74" s="32">
        <v>0</v>
      </c>
      <c r="CR74" s="32">
        <v>0</v>
      </c>
      <c r="CS74" s="32">
        <v>0</v>
      </c>
      <c r="CT74" s="32">
        <v>0</v>
      </c>
      <c r="CU74" s="32">
        <v>46.713463932730413</v>
      </c>
      <c r="CV74" s="32">
        <v>9999</v>
      </c>
      <c r="CW74" s="384">
        <v>0</v>
      </c>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row>
    <row r="75" spans="1:131">
      <c r="A75" s="11" t="s">
        <v>534</v>
      </c>
      <c r="B75" s="11" t="s">
        <v>534</v>
      </c>
      <c r="C75" s="32">
        <v>16.279069767441861</v>
      </c>
      <c r="D75" s="32">
        <v>270.89999999999998</v>
      </c>
      <c r="E75" s="32">
        <v>0</v>
      </c>
      <c r="F75" s="32">
        <v>113.40810404906972</v>
      </c>
      <c r="G75" s="32">
        <v>-56</v>
      </c>
      <c r="H75" s="32">
        <v>0</v>
      </c>
      <c r="I75" s="32" t="s">
        <v>526</v>
      </c>
      <c r="J75" s="32"/>
      <c r="K75" s="32"/>
      <c r="L75" s="32">
        <v>306.50679245488732</v>
      </c>
      <c r="M75" s="32">
        <v>7.1643803190103078E-2</v>
      </c>
      <c r="N75" s="32">
        <v>6.7973247808446935E-2</v>
      </c>
      <c r="O75" s="32">
        <v>0</v>
      </c>
      <c r="P75" s="32">
        <v>0</v>
      </c>
      <c r="Q75" s="32">
        <v>0</v>
      </c>
      <c r="R75" s="32">
        <v>22.61509090978879</v>
      </c>
      <c r="S75" s="32">
        <v>5.5992895024941172</v>
      </c>
      <c r="T75" s="32">
        <v>46.713463932730413</v>
      </c>
      <c r="U75" s="32">
        <v>66.553221979498687</v>
      </c>
      <c r="V75" s="32" t="s">
        <v>611</v>
      </c>
      <c r="W75" s="32" t="s">
        <v>611</v>
      </c>
      <c r="X75" s="32" t="s">
        <v>611</v>
      </c>
      <c r="Y75" s="32" t="s">
        <v>611</v>
      </c>
      <c r="Z75" s="32">
        <v>0</v>
      </c>
      <c r="AA75" s="32">
        <v>0</v>
      </c>
      <c r="AB75" s="32">
        <v>0</v>
      </c>
      <c r="AC75" s="32">
        <v>-761.05827531819057</v>
      </c>
      <c r="AD75" s="32">
        <v>0</v>
      </c>
      <c r="AE75" s="32">
        <v>0</v>
      </c>
      <c r="AF75" s="32">
        <v>0</v>
      </c>
      <c r="AG75" s="32">
        <v>0</v>
      </c>
      <c r="AH75" s="32">
        <v>22.61509090978879</v>
      </c>
      <c r="AI75" s="32">
        <v>5.5992895024941172</v>
      </c>
      <c r="AJ75" s="32">
        <v>46.713463932730413</v>
      </c>
      <c r="AK75" s="32">
        <v>-694.50505333869182</v>
      </c>
      <c r="AL75" s="32">
        <v>-619.5772089936786</v>
      </c>
      <c r="AM75" s="32">
        <v>147.00747576868</v>
      </c>
      <c r="AN75" s="32">
        <v>25.315229314651578</v>
      </c>
      <c r="AO75" s="32">
        <v>17.232270508333158</v>
      </c>
      <c r="AP75" s="32">
        <v>0</v>
      </c>
      <c r="AQ75" s="32">
        <v>189.55497559166474</v>
      </c>
      <c r="AR75" s="32">
        <v>22.61509090978879</v>
      </c>
      <c r="AS75" s="383">
        <v>8.381791448365</v>
      </c>
      <c r="AT75" s="32">
        <v>147.00747576868</v>
      </c>
      <c r="AU75" s="32">
        <v>28.637137233768751</v>
      </c>
      <c r="AV75" s="32">
        <v>17.564461300244876</v>
      </c>
      <c r="AW75" s="32">
        <v>0</v>
      </c>
      <c r="AX75" s="32">
        <v>193.20907430269364</v>
      </c>
      <c r="AY75" s="32">
        <v>5.5992895024941172</v>
      </c>
      <c r="AZ75" s="383">
        <v>34.505998344367022</v>
      </c>
      <c r="BA75" s="32">
        <v>147.00747576868</v>
      </c>
      <c r="BB75" s="32">
        <v>53.952366548420329</v>
      </c>
      <c r="BC75" s="32">
        <v>20.095984231710034</v>
      </c>
      <c r="BD75" s="32">
        <v>0</v>
      </c>
      <c r="BE75" s="32">
        <v>221.05582654881039</v>
      </c>
      <c r="BF75" s="32">
        <v>28.214380412282907</v>
      </c>
      <c r="BG75" s="32">
        <v>-11.0031615846592</v>
      </c>
      <c r="BH75" s="383">
        <v>7.8348637580776179</v>
      </c>
      <c r="BI75" s="32">
        <v>5.4291063491790119</v>
      </c>
      <c r="BJ75" s="32">
        <v>1.3441970368434002</v>
      </c>
      <c r="BK75" s="32">
        <v>11.21429777315452</v>
      </c>
      <c r="BL75" s="32">
        <v>-166.72680245499021</v>
      </c>
      <c r="BM75" s="32">
        <v>-148.7392012958133</v>
      </c>
      <c r="BN75" s="32">
        <v>147.00747576868</v>
      </c>
      <c r="BO75" s="32">
        <v>0</v>
      </c>
      <c r="BP75" s="32">
        <v>53.952366548420329</v>
      </c>
      <c r="BQ75" s="32">
        <v>0</v>
      </c>
      <c r="BR75" s="32">
        <v>0</v>
      </c>
      <c r="BS75" s="32">
        <v>0</v>
      </c>
      <c r="BT75" s="32">
        <v>0</v>
      </c>
      <c r="BU75" s="32">
        <v>0</v>
      </c>
      <c r="BV75" s="32">
        <v>0</v>
      </c>
      <c r="BW75" s="32">
        <v>20.095984231710034</v>
      </c>
      <c r="BX75" s="32">
        <v>141.481066324512</v>
      </c>
      <c r="BY75" s="32"/>
      <c r="BZ75" s="32">
        <v>-761.05827531819057</v>
      </c>
      <c r="CA75" s="32">
        <v>0</v>
      </c>
      <c r="CB75" s="32">
        <v>221.05582654881036</v>
      </c>
      <c r="CC75" s="32">
        <v>-619.5772089936786</v>
      </c>
      <c r="CD75" s="383">
        <v>6.9416645448115828</v>
      </c>
      <c r="CE75" s="32">
        <v>-166.51566626649489</v>
      </c>
      <c r="CF75" s="32">
        <v>2.9118280050832959</v>
      </c>
      <c r="CG75" s="32">
        <v>0</v>
      </c>
      <c r="CH75" s="32">
        <v>2.9118280050832959</v>
      </c>
      <c r="CI75" s="32">
        <v>0.14559072641607146</v>
      </c>
      <c r="CJ75" s="32">
        <v>0</v>
      </c>
      <c r="CK75" s="32">
        <v>0.14559072641607146</v>
      </c>
      <c r="CL75" s="32"/>
      <c r="CM75" s="32">
        <v>0</v>
      </c>
      <c r="CN75" s="32"/>
      <c r="CO75" s="32">
        <v>0</v>
      </c>
      <c r="CP75" s="32">
        <v>0</v>
      </c>
      <c r="CQ75" s="32">
        <v>0</v>
      </c>
      <c r="CR75" s="32">
        <v>0</v>
      </c>
      <c r="CS75" s="32">
        <v>0</v>
      </c>
      <c r="CT75" s="32">
        <v>0</v>
      </c>
      <c r="CU75" s="32">
        <v>46.713463932730413</v>
      </c>
      <c r="CV75" s="32">
        <v>9999</v>
      </c>
      <c r="CW75" s="384">
        <v>0</v>
      </c>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row>
    <row r="76" spans="1:131">
      <c r="A76" s="11" t="s">
        <v>844</v>
      </c>
      <c r="B76" s="11" t="s">
        <v>844</v>
      </c>
      <c r="C76" s="32">
        <v>16.279069767441861</v>
      </c>
      <c r="D76" s="32">
        <v>408.5</v>
      </c>
      <c r="E76" s="32">
        <v>0</v>
      </c>
      <c r="F76" s="32">
        <v>162.01157721295672</v>
      </c>
      <c r="G76" s="32">
        <v>0</v>
      </c>
      <c r="H76" s="32">
        <v>-157.90429063834037</v>
      </c>
      <c r="I76" s="32" t="s">
        <v>526</v>
      </c>
      <c r="J76" s="32"/>
      <c r="K76" s="32"/>
      <c r="L76" s="32">
        <v>462.19278227324287</v>
      </c>
      <c r="M76" s="32">
        <v>0.10803430639777449</v>
      </c>
      <c r="N76" s="32">
        <v>0.10249934193337237</v>
      </c>
      <c r="O76" s="32">
        <v>0</v>
      </c>
      <c r="P76" s="32">
        <v>0</v>
      </c>
      <c r="Q76" s="32">
        <v>0</v>
      </c>
      <c r="R76" s="32">
        <v>32.307272728269702</v>
      </c>
      <c r="S76" s="32">
        <v>7.998985003563023</v>
      </c>
      <c r="T76" s="32">
        <v>66.733519903900572</v>
      </c>
      <c r="U76" s="32">
        <v>95.076031399283835</v>
      </c>
      <c r="V76" s="32" t="s">
        <v>611</v>
      </c>
      <c r="W76" s="32" t="s">
        <v>611</v>
      </c>
      <c r="X76" s="32" t="s">
        <v>611</v>
      </c>
      <c r="Y76" s="32" t="s">
        <v>611</v>
      </c>
      <c r="Z76" s="32">
        <v>0</v>
      </c>
      <c r="AA76" s="32">
        <v>0</v>
      </c>
      <c r="AB76" s="32">
        <v>0</v>
      </c>
      <c r="AC76" s="32">
        <v>0</v>
      </c>
      <c r="AD76" s="32">
        <v>0</v>
      </c>
      <c r="AE76" s="32">
        <v>0</v>
      </c>
      <c r="AF76" s="32">
        <v>0</v>
      </c>
      <c r="AG76" s="32">
        <v>-157.90429063834037</v>
      </c>
      <c r="AH76" s="32">
        <v>32.307272728269702</v>
      </c>
      <c r="AI76" s="32">
        <v>7.998985003563023</v>
      </c>
      <c r="AJ76" s="32">
        <v>66.733519903900572</v>
      </c>
      <c r="AK76" s="32">
        <v>-62.828259239056536</v>
      </c>
      <c r="AL76" s="32">
        <v>44.211518396676752</v>
      </c>
      <c r="AM76" s="32">
        <v>221.67793965118409</v>
      </c>
      <c r="AN76" s="32">
        <v>38.173758490347623</v>
      </c>
      <c r="AO76" s="32">
        <v>25.985169814153174</v>
      </c>
      <c r="AP76" s="32">
        <v>0</v>
      </c>
      <c r="AQ76" s="32">
        <v>285.83686795568485</v>
      </c>
      <c r="AR76" s="32">
        <v>32.307272728269702</v>
      </c>
      <c r="AS76" s="383">
        <v>8.8474465288297193</v>
      </c>
      <c r="AT76" s="32">
        <v>221.67793965118409</v>
      </c>
      <c r="AU76" s="32">
        <v>43.182984717587814</v>
      </c>
      <c r="AV76" s="32">
        <v>26.486092436877193</v>
      </c>
      <c r="AW76" s="32">
        <v>0</v>
      </c>
      <c r="AX76" s="32">
        <v>291.3470168056491</v>
      </c>
      <c r="AY76" s="32">
        <v>7.998985003563023</v>
      </c>
      <c r="AZ76" s="383">
        <v>36.422998252387416</v>
      </c>
      <c r="BA76" s="32">
        <v>221.67793965118409</v>
      </c>
      <c r="BB76" s="32">
        <v>81.356743207935438</v>
      </c>
      <c r="BC76" s="32">
        <v>30.303468285911954</v>
      </c>
      <c r="BD76" s="32">
        <v>0</v>
      </c>
      <c r="BE76" s="32">
        <v>333.33815114503147</v>
      </c>
      <c r="BF76" s="32">
        <v>40.306257731832723</v>
      </c>
      <c r="BG76" s="32">
        <v>-11.359651236555111</v>
      </c>
      <c r="BH76" s="383">
        <v>8.2701339668597065</v>
      </c>
      <c r="BI76" s="32">
        <v>5.1433639097485369</v>
      </c>
      <c r="BJ76" s="32">
        <v>1.2734498243779575</v>
      </c>
      <c r="BK76" s="32">
        <v>10.624071574567434</v>
      </c>
      <c r="BL76" s="32">
        <v>-10.002348505255444</v>
      </c>
      <c r="BM76" s="32">
        <v>7.0385368034384825</v>
      </c>
      <c r="BN76" s="32">
        <v>221.67793965118409</v>
      </c>
      <c r="BO76" s="32">
        <v>0</v>
      </c>
      <c r="BP76" s="32">
        <v>81.356743207935438</v>
      </c>
      <c r="BQ76" s="32">
        <v>0</v>
      </c>
      <c r="BR76" s="32">
        <v>0</v>
      </c>
      <c r="BS76" s="32">
        <v>0</v>
      </c>
      <c r="BT76" s="32">
        <v>0</v>
      </c>
      <c r="BU76" s="32">
        <v>0</v>
      </c>
      <c r="BV76" s="32">
        <v>0</v>
      </c>
      <c r="BW76" s="32">
        <v>30.303468285911954</v>
      </c>
      <c r="BX76" s="32">
        <v>202.11580903501712</v>
      </c>
      <c r="BY76" s="32"/>
      <c r="BZ76" s="32">
        <v>0</v>
      </c>
      <c r="CA76" s="32">
        <v>-157.90429063834037</v>
      </c>
      <c r="CB76" s="32">
        <v>333.33815114503147</v>
      </c>
      <c r="CC76" s="32">
        <v>44.211518396676752</v>
      </c>
      <c r="CD76" s="383">
        <v>2.4304998412977321</v>
      </c>
      <c r="CE76" s="32">
        <v>-10.737928167243119</v>
      </c>
      <c r="CF76" s="32">
        <v>4.3908517536970244</v>
      </c>
      <c r="CG76" s="32">
        <v>0</v>
      </c>
      <c r="CH76" s="32">
        <v>4.3908517536970244</v>
      </c>
      <c r="CI76" s="32">
        <v>0.21954157157979032</v>
      </c>
      <c r="CJ76" s="32">
        <v>0</v>
      </c>
      <c r="CK76" s="32">
        <v>0.21954157157979032</v>
      </c>
      <c r="CL76" s="32"/>
      <c r="CM76" s="32">
        <v>0</v>
      </c>
      <c r="CN76" s="32"/>
      <c r="CO76" s="32">
        <v>0</v>
      </c>
      <c r="CP76" s="32">
        <v>0</v>
      </c>
      <c r="CQ76" s="32">
        <v>0</v>
      </c>
      <c r="CR76" s="32">
        <v>0</v>
      </c>
      <c r="CS76" s="32">
        <v>0</v>
      </c>
      <c r="CT76" s="32">
        <v>0</v>
      </c>
      <c r="CU76" s="32">
        <v>66.733519903900572</v>
      </c>
      <c r="CV76" s="32">
        <v>9999</v>
      </c>
      <c r="CW76" s="384">
        <v>0</v>
      </c>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row>
    <row r="77" spans="1:131">
      <c r="A77" s="11" t="s">
        <v>845</v>
      </c>
      <c r="B77" s="11" t="s">
        <v>845</v>
      </c>
      <c r="C77" s="32">
        <v>16.279069767441861</v>
      </c>
      <c r="D77" s="32">
        <v>408.5</v>
      </c>
      <c r="E77" s="32">
        <v>0</v>
      </c>
      <c r="F77" s="32">
        <v>162.01157721295672</v>
      </c>
      <c r="G77" s="32">
        <v>-56</v>
      </c>
      <c r="H77" s="32">
        <v>0</v>
      </c>
      <c r="I77" s="32" t="s">
        <v>526</v>
      </c>
      <c r="J77" s="32"/>
      <c r="K77" s="32"/>
      <c r="L77" s="32">
        <v>462.19278227324287</v>
      </c>
      <c r="M77" s="32">
        <v>0.10803430639777449</v>
      </c>
      <c r="N77" s="32">
        <v>0.10249934193337237</v>
      </c>
      <c r="O77" s="32">
        <v>0</v>
      </c>
      <c r="P77" s="32">
        <v>0</v>
      </c>
      <c r="Q77" s="32">
        <v>0</v>
      </c>
      <c r="R77" s="32">
        <v>32.307272728269702</v>
      </c>
      <c r="S77" s="32">
        <v>7.998985003563023</v>
      </c>
      <c r="T77" s="32">
        <v>66.733519903900572</v>
      </c>
      <c r="U77" s="32">
        <v>95.076031399283835</v>
      </c>
      <c r="V77" s="32" t="s">
        <v>611</v>
      </c>
      <c r="W77" s="32" t="s">
        <v>611</v>
      </c>
      <c r="X77" s="32" t="s">
        <v>611</v>
      </c>
      <c r="Y77" s="32" t="s">
        <v>611</v>
      </c>
      <c r="Z77" s="32">
        <v>0</v>
      </c>
      <c r="AA77" s="32">
        <v>0</v>
      </c>
      <c r="AB77" s="32">
        <v>0</v>
      </c>
      <c r="AC77" s="32">
        <v>-761.05827531819057</v>
      </c>
      <c r="AD77" s="32">
        <v>0</v>
      </c>
      <c r="AE77" s="32">
        <v>0</v>
      </c>
      <c r="AF77" s="32">
        <v>0</v>
      </c>
      <c r="AG77" s="32">
        <v>0</v>
      </c>
      <c r="AH77" s="32">
        <v>32.307272728269702</v>
      </c>
      <c r="AI77" s="32">
        <v>7.998985003563023</v>
      </c>
      <c r="AJ77" s="32">
        <v>66.733519903900572</v>
      </c>
      <c r="AK77" s="32">
        <v>-665.98224391890676</v>
      </c>
      <c r="AL77" s="32">
        <v>-558.94246628317342</v>
      </c>
      <c r="AM77" s="32">
        <v>221.67793965118409</v>
      </c>
      <c r="AN77" s="32">
        <v>38.173758490347623</v>
      </c>
      <c r="AO77" s="32">
        <v>25.985169814153174</v>
      </c>
      <c r="AP77" s="32">
        <v>0</v>
      </c>
      <c r="AQ77" s="32">
        <v>285.83686795568485</v>
      </c>
      <c r="AR77" s="32">
        <v>32.307272728269702</v>
      </c>
      <c r="AS77" s="383">
        <v>8.8474465288297193</v>
      </c>
      <c r="AT77" s="32">
        <v>221.67793965118409</v>
      </c>
      <c r="AU77" s="32">
        <v>43.182984717587814</v>
      </c>
      <c r="AV77" s="32">
        <v>26.486092436877193</v>
      </c>
      <c r="AW77" s="32">
        <v>0</v>
      </c>
      <c r="AX77" s="32">
        <v>291.3470168056491</v>
      </c>
      <c r="AY77" s="32">
        <v>7.998985003563023</v>
      </c>
      <c r="AZ77" s="383">
        <v>36.422998252387416</v>
      </c>
      <c r="BA77" s="32">
        <v>221.67793965118409</v>
      </c>
      <c r="BB77" s="32">
        <v>81.356743207935438</v>
      </c>
      <c r="BC77" s="32">
        <v>30.303468285911954</v>
      </c>
      <c r="BD77" s="32">
        <v>0</v>
      </c>
      <c r="BE77" s="32">
        <v>333.33815114503147</v>
      </c>
      <c r="BF77" s="32">
        <v>40.306257731832723</v>
      </c>
      <c r="BG77" s="32">
        <v>-11.359651236555111</v>
      </c>
      <c r="BH77" s="383">
        <v>8.2701339668597065</v>
      </c>
      <c r="BI77" s="32">
        <v>5.1433639097485369</v>
      </c>
      <c r="BJ77" s="32">
        <v>1.2734498243779575</v>
      </c>
      <c r="BK77" s="32">
        <v>10.624071574567434</v>
      </c>
      <c r="BL77" s="32">
        <v>-106.02532336035124</v>
      </c>
      <c r="BM77" s="32">
        <v>-88.984438051657307</v>
      </c>
      <c r="BN77" s="32">
        <v>221.67793965118409</v>
      </c>
      <c r="BO77" s="32">
        <v>0</v>
      </c>
      <c r="BP77" s="32">
        <v>81.356743207935438</v>
      </c>
      <c r="BQ77" s="32">
        <v>0</v>
      </c>
      <c r="BR77" s="32">
        <v>0</v>
      </c>
      <c r="BS77" s="32">
        <v>0</v>
      </c>
      <c r="BT77" s="32">
        <v>0</v>
      </c>
      <c r="BU77" s="32">
        <v>0</v>
      </c>
      <c r="BV77" s="32">
        <v>0</v>
      </c>
      <c r="BW77" s="32">
        <v>30.303468285911954</v>
      </c>
      <c r="BX77" s="32">
        <v>202.11580903501712</v>
      </c>
      <c r="BY77" s="32"/>
      <c r="BZ77" s="32">
        <v>-761.05827531819057</v>
      </c>
      <c r="CA77" s="32">
        <v>0</v>
      </c>
      <c r="CB77" s="32">
        <v>333.33815114503147</v>
      </c>
      <c r="CC77" s="32">
        <v>-558.94246628317342</v>
      </c>
      <c r="CD77" s="383">
        <v>5.4146997787472175</v>
      </c>
      <c r="CE77" s="32">
        <v>-106.76090302233889</v>
      </c>
      <c r="CF77" s="32">
        <v>4.3908517536970244</v>
      </c>
      <c r="CG77" s="32">
        <v>0</v>
      </c>
      <c r="CH77" s="32">
        <v>4.3908517536970244</v>
      </c>
      <c r="CI77" s="32">
        <v>0.21954157157979032</v>
      </c>
      <c r="CJ77" s="32">
        <v>0</v>
      </c>
      <c r="CK77" s="32">
        <v>0.21954157157979032</v>
      </c>
      <c r="CL77" s="32"/>
      <c r="CM77" s="32">
        <v>0</v>
      </c>
      <c r="CN77" s="32"/>
      <c r="CO77" s="32">
        <v>0</v>
      </c>
      <c r="CP77" s="32">
        <v>0</v>
      </c>
      <c r="CQ77" s="32">
        <v>0</v>
      </c>
      <c r="CR77" s="32">
        <v>0</v>
      </c>
      <c r="CS77" s="32">
        <v>0</v>
      </c>
      <c r="CT77" s="32">
        <v>0</v>
      </c>
      <c r="CU77" s="32">
        <v>66.733519903900572</v>
      </c>
      <c r="CV77" s="32">
        <v>9999</v>
      </c>
      <c r="CW77" s="384">
        <v>0</v>
      </c>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row>
    <row r="78" spans="1:131">
      <c r="A78" s="11" t="s">
        <v>846</v>
      </c>
      <c r="B78" s="11" t="s">
        <v>846</v>
      </c>
      <c r="C78" s="32">
        <v>16.279069767441861</v>
      </c>
      <c r="D78" s="32">
        <v>666.5</v>
      </c>
      <c r="E78" s="32">
        <v>0</v>
      </c>
      <c r="F78" s="32">
        <v>162.01157721295672</v>
      </c>
      <c r="G78" s="32">
        <v>0</v>
      </c>
      <c r="H78" s="32">
        <v>-157.90429063834037</v>
      </c>
      <c r="I78" s="32" t="s">
        <v>526</v>
      </c>
      <c r="J78" s="32"/>
      <c r="K78" s="32"/>
      <c r="L78" s="32">
        <v>754.1040131826594</v>
      </c>
      <c r="M78" s="32">
        <v>0.1762664999121584</v>
      </c>
      <c r="N78" s="32">
        <v>0.16723576841760757</v>
      </c>
      <c r="O78" s="32">
        <v>0</v>
      </c>
      <c r="P78" s="32">
        <v>0</v>
      </c>
      <c r="Q78" s="32">
        <v>0</v>
      </c>
      <c r="R78" s="32">
        <v>32.307272728269702</v>
      </c>
      <c r="S78" s="32">
        <v>7.998985003563023</v>
      </c>
      <c r="T78" s="32">
        <v>66.733519903900572</v>
      </c>
      <c r="U78" s="32">
        <v>95.076031399283835</v>
      </c>
      <c r="V78" s="32" t="s">
        <v>611</v>
      </c>
      <c r="W78" s="32" t="s">
        <v>611</v>
      </c>
      <c r="X78" s="32" t="s">
        <v>611</v>
      </c>
      <c r="Y78" s="32" t="s">
        <v>611</v>
      </c>
      <c r="Z78" s="32">
        <v>0</v>
      </c>
      <c r="AA78" s="32">
        <v>0</v>
      </c>
      <c r="AB78" s="32">
        <v>0</v>
      </c>
      <c r="AC78" s="32">
        <v>0</v>
      </c>
      <c r="AD78" s="32">
        <v>0</v>
      </c>
      <c r="AE78" s="32">
        <v>0</v>
      </c>
      <c r="AF78" s="32">
        <v>0</v>
      </c>
      <c r="AG78" s="32">
        <v>-157.90429063834037</v>
      </c>
      <c r="AH78" s="32">
        <v>32.307272728269702</v>
      </c>
      <c r="AI78" s="32">
        <v>7.998985003563023</v>
      </c>
      <c r="AJ78" s="32">
        <v>66.733519903900572</v>
      </c>
      <c r="AK78" s="32">
        <v>-62.828259239056536</v>
      </c>
      <c r="AL78" s="32">
        <v>44.211518396676752</v>
      </c>
      <c r="AM78" s="32">
        <v>361.68505943087922</v>
      </c>
      <c r="AN78" s="32">
        <v>62.283500694777707</v>
      </c>
      <c r="AO78" s="32">
        <v>42.396856012565692</v>
      </c>
      <c r="AP78" s="32">
        <v>0</v>
      </c>
      <c r="AQ78" s="32">
        <v>466.36541613822266</v>
      </c>
      <c r="AR78" s="32">
        <v>32.307272728269702</v>
      </c>
      <c r="AS78" s="383">
        <v>14.435307494406386</v>
      </c>
      <c r="AT78" s="32">
        <v>361.68505943087922</v>
      </c>
      <c r="AU78" s="32">
        <v>70.456448749748532</v>
      </c>
      <c r="AV78" s="32">
        <v>43.214150818062777</v>
      </c>
      <c r="AW78" s="32">
        <v>0</v>
      </c>
      <c r="AX78" s="32">
        <v>475.3556589986905</v>
      </c>
      <c r="AY78" s="32">
        <v>7.998985003563023</v>
      </c>
      <c r="AZ78" s="383">
        <v>59.426997148632076</v>
      </c>
      <c r="BA78" s="32">
        <v>361.68505943087922</v>
      </c>
      <c r="BB78" s="32">
        <v>132.73994944452625</v>
      </c>
      <c r="BC78" s="32">
        <v>49.442500887540547</v>
      </c>
      <c r="BD78" s="32">
        <v>0</v>
      </c>
      <c r="BE78" s="32">
        <v>543.86750976294604</v>
      </c>
      <c r="BF78" s="32">
        <v>40.306257731832723</v>
      </c>
      <c r="BG78" s="32">
        <v>-13.843579133636334</v>
      </c>
      <c r="BH78" s="383">
        <v>13.493376472244783</v>
      </c>
      <c r="BI78" s="32">
        <v>3.1523843317813611</v>
      </c>
      <c r="BJ78" s="32">
        <v>0.78050150526390938</v>
      </c>
      <c r="BK78" s="32">
        <v>6.511527739251008</v>
      </c>
      <c r="BL78" s="32">
        <v>-6.1304716645114015</v>
      </c>
      <c r="BM78" s="32">
        <v>4.3139419117848767</v>
      </c>
      <c r="BN78" s="32">
        <v>361.68505943087922</v>
      </c>
      <c r="BO78" s="32">
        <v>0</v>
      </c>
      <c r="BP78" s="32">
        <v>132.73994944452625</v>
      </c>
      <c r="BQ78" s="32">
        <v>0</v>
      </c>
      <c r="BR78" s="32">
        <v>0</v>
      </c>
      <c r="BS78" s="32">
        <v>0</v>
      </c>
      <c r="BT78" s="32">
        <v>0</v>
      </c>
      <c r="BU78" s="32">
        <v>0</v>
      </c>
      <c r="BV78" s="32">
        <v>0</v>
      </c>
      <c r="BW78" s="32">
        <v>49.442500887540547</v>
      </c>
      <c r="BX78" s="32">
        <v>202.11580903501712</v>
      </c>
      <c r="BY78" s="32"/>
      <c r="BZ78" s="32">
        <v>0</v>
      </c>
      <c r="CA78" s="32">
        <v>-157.90429063834037</v>
      </c>
      <c r="CB78" s="32">
        <v>543.86750976294604</v>
      </c>
      <c r="CC78" s="32">
        <v>44.211518396676752</v>
      </c>
      <c r="CD78" s="383">
        <v>3.4721272113835608</v>
      </c>
      <c r="CE78" s="32">
        <v>-13.46252305889673</v>
      </c>
      <c r="CF78" s="32">
        <v>7.1640212823477789</v>
      </c>
      <c r="CG78" s="32">
        <v>0</v>
      </c>
      <c r="CH78" s="32">
        <v>7.1640212823477789</v>
      </c>
      <c r="CI78" s="32">
        <v>0.35819940626176316</v>
      </c>
      <c r="CJ78" s="32">
        <v>0</v>
      </c>
      <c r="CK78" s="32">
        <v>0.35819940626176316</v>
      </c>
      <c r="CL78" s="32"/>
      <c r="CM78" s="32">
        <v>0</v>
      </c>
      <c r="CN78" s="32"/>
      <c r="CO78" s="32">
        <v>0</v>
      </c>
      <c r="CP78" s="32">
        <v>0</v>
      </c>
      <c r="CQ78" s="32">
        <v>0</v>
      </c>
      <c r="CR78" s="32">
        <v>0</v>
      </c>
      <c r="CS78" s="32">
        <v>0</v>
      </c>
      <c r="CT78" s="32">
        <v>0</v>
      </c>
      <c r="CU78" s="32">
        <v>66.733519903900572</v>
      </c>
      <c r="CV78" s="32">
        <v>9999</v>
      </c>
      <c r="CW78" s="384">
        <v>0</v>
      </c>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row>
    <row r="79" spans="1:131">
      <c r="A79" s="11" t="s">
        <v>847</v>
      </c>
      <c r="B79" s="11" t="s">
        <v>847</v>
      </c>
      <c r="C79" s="32">
        <v>16.279069767441861</v>
      </c>
      <c r="D79" s="32">
        <v>666.5</v>
      </c>
      <c r="E79" s="32">
        <v>0</v>
      </c>
      <c r="F79" s="32">
        <v>162.01157721295672</v>
      </c>
      <c r="G79" s="32">
        <v>-56</v>
      </c>
      <c r="H79" s="32">
        <v>0</v>
      </c>
      <c r="I79" s="32" t="s">
        <v>526</v>
      </c>
      <c r="J79" s="32"/>
      <c r="K79" s="32"/>
      <c r="L79" s="32">
        <v>754.1040131826594</v>
      </c>
      <c r="M79" s="32">
        <v>0.1762664999121584</v>
      </c>
      <c r="N79" s="32">
        <v>0.16723576841760757</v>
      </c>
      <c r="O79" s="32">
        <v>0</v>
      </c>
      <c r="P79" s="32">
        <v>0</v>
      </c>
      <c r="Q79" s="32">
        <v>0</v>
      </c>
      <c r="R79" s="32">
        <v>32.307272728269702</v>
      </c>
      <c r="S79" s="32">
        <v>7.998985003563023</v>
      </c>
      <c r="T79" s="32">
        <v>66.733519903900572</v>
      </c>
      <c r="U79" s="32">
        <v>95.076031399283835</v>
      </c>
      <c r="V79" s="32" t="s">
        <v>611</v>
      </c>
      <c r="W79" s="32" t="s">
        <v>611</v>
      </c>
      <c r="X79" s="32" t="s">
        <v>611</v>
      </c>
      <c r="Y79" s="32" t="s">
        <v>611</v>
      </c>
      <c r="Z79" s="32">
        <v>0</v>
      </c>
      <c r="AA79" s="32">
        <v>0</v>
      </c>
      <c r="AB79" s="32">
        <v>0</v>
      </c>
      <c r="AC79" s="32">
        <v>-761.05827531819057</v>
      </c>
      <c r="AD79" s="32">
        <v>0</v>
      </c>
      <c r="AE79" s="32">
        <v>0</v>
      </c>
      <c r="AF79" s="32">
        <v>0</v>
      </c>
      <c r="AG79" s="32">
        <v>0</v>
      </c>
      <c r="AH79" s="32">
        <v>32.307272728269702</v>
      </c>
      <c r="AI79" s="32">
        <v>7.998985003563023</v>
      </c>
      <c r="AJ79" s="32">
        <v>66.733519903900572</v>
      </c>
      <c r="AK79" s="32">
        <v>-665.98224391890676</v>
      </c>
      <c r="AL79" s="32">
        <v>-558.94246628317342</v>
      </c>
      <c r="AM79" s="32">
        <v>361.68505943087922</v>
      </c>
      <c r="AN79" s="32">
        <v>62.283500694777707</v>
      </c>
      <c r="AO79" s="32">
        <v>42.396856012565692</v>
      </c>
      <c r="AP79" s="32">
        <v>0</v>
      </c>
      <c r="AQ79" s="32">
        <v>466.36541613822266</v>
      </c>
      <c r="AR79" s="32">
        <v>32.307272728269702</v>
      </c>
      <c r="AS79" s="383">
        <v>14.435307494406386</v>
      </c>
      <c r="AT79" s="32">
        <v>361.68505943087922</v>
      </c>
      <c r="AU79" s="32">
        <v>70.456448749748532</v>
      </c>
      <c r="AV79" s="32">
        <v>43.214150818062777</v>
      </c>
      <c r="AW79" s="32">
        <v>0</v>
      </c>
      <c r="AX79" s="32">
        <v>475.3556589986905</v>
      </c>
      <c r="AY79" s="32">
        <v>7.998985003563023</v>
      </c>
      <c r="AZ79" s="383">
        <v>59.426997148632076</v>
      </c>
      <c r="BA79" s="32">
        <v>361.68505943087922</v>
      </c>
      <c r="BB79" s="32">
        <v>132.73994944452625</v>
      </c>
      <c r="BC79" s="32">
        <v>49.442500887540547</v>
      </c>
      <c r="BD79" s="32">
        <v>0</v>
      </c>
      <c r="BE79" s="32">
        <v>543.86750976294604</v>
      </c>
      <c r="BF79" s="32">
        <v>40.306257731832723</v>
      </c>
      <c r="BG79" s="32">
        <v>-13.843579133636334</v>
      </c>
      <c r="BH79" s="383">
        <v>13.493376472244783</v>
      </c>
      <c r="BI79" s="32">
        <v>3.1523843317813611</v>
      </c>
      <c r="BJ79" s="32">
        <v>0.78050150526390938</v>
      </c>
      <c r="BK79" s="32">
        <v>6.511527739251008</v>
      </c>
      <c r="BL79" s="32">
        <v>-64.983262704731402</v>
      </c>
      <c r="BM79" s="32">
        <v>-54.538849128435118</v>
      </c>
      <c r="BN79" s="32">
        <v>361.68505943087922</v>
      </c>
      <c r="BO79" s="32">
        <v>0</v>
      </c>
      <c r="BP79" s="32">
        <v>132.73994944452625</v>
      </c>
      <c r="BQ79" s="32">
        <v>0</v>
      </c>
      <c r="BR79" s="32">
        <v>0</v>
      </c>
      <c r="BS79" s="32">
        <v>0</v>
      </c>
      <c r="BT79" s="32">
        <v>0</v>
      </c>
      <c r="BU79" s="32">
        <v>0</v>
      </c>
      <c r="BV79" s="32">
        <v>0</v>
      </c>
      <c r="BW79" s="32">
        <v>49.442500887540547</v>
      </c>
      <c r="BX79" s="32">
        <v>202.11580903501712</v>
      </c>
      <c r="BY79" s="32"/>
      <c r="BZ79" s="32">
        <v>-761.05827531819057</v>
      </c>
      <c r="CA79" s="32">
        <v>0</v>
      </c>
      <c r="CB79" s="32">
        <v>543.86750976294604</v>
      </c>
      <c r="CC79" s="32">
        <v>-558.94246628317342</v>
      </c>
      <c r="CD79" s="383">
        <v>6.4563271488330463</v>
      </c>
      <c r="CE79" s="32">
        <v>-72.315314099116733</v>
      </c>
      <c r="CF79" s="32">
        <v>7.1640212823477789</v>
      </c>
      <c r="CG79" s="32">
        <v>0</v>
      </c>
      <c r="CH79" s="32">
        <v>7.1640212823477789</v>
      </c>
      <c r="CI79" s="32">
        <v>0.35819940626176316</v>
      </c>
      <c r="CJ79" s="32">
        <v>0</v>
      </c>
      <c r="CK79" s="32">
        <v>0.35819940626176316</v>
      </c>
      <c r="CL79" s="32"/>
      <c r="CM79" s="32">
        <v>0</v>
      </c>
      <c r="CN79" s="32"/>
      <c r="CO79" s="32">
        <v>0</v>
      </c>
      <c r="CP79" s="32">
        <v>0</v>
      </c>
      <c r="CQ79" s="32">
        <v>0</v>
      </c>
      <c r="CR79" s="32">
        <v>0</v>
      </c>
      <c r="CS79" s="32">
        <v>0</v>
      </c>
      <c r="CT79" s="32">
        <v>0</v>
      </c>
      <c r="CU79" s="32">
        <v>66.733519903900572</v>
      </c>
      <c r="CV79" s="32">
        <v>9999</v>
      </c>
      <c r="CW79" s="384">
        <v>0</v>
      </c>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row>
    <row r="80" spans="1:131">
      <c r="A80" s="11" t="s">
        <v>957</v>
      </c>
      <c r="B80" s="11" t="s">
        <v>957</v>
      </c>
      <c r="C80" s="32">
        <v>16.279069767441861</v>
      </c>
      <c r="D80" s="32">
        <v>1195.4000000000001</v>
      </c>
      <c r="E80" s="32">
        <v>0</v>
      </c>
      <c r="F80" s="32">
        <v>324.02315442591345</v>
      </c>
      <c r="G80" s="32">
        <v>0</v>
      </c>
      <c r="H80" s="32">
        <v>-176.38229806324742</v>
      </c>
      <c r="I80" s="32" t="s">
        <v>526</v>
      </c>
      <c r="J80" s="32"/>
      <c r="K80" s="32"/>
      <c r="L80" s="32">
        <v>1352.5220365469634</v>
      </c>
      <c r="M80" s="32">
        <v>0.3161424966166454</v>
      </c>
      <c r="N80" s="32">
        <v>0.29994544271028972</v>
      </c>
      <c r="O80" s="32">
        <v>0</v>
      </c>
      <c r="P80" s="32">
        <v>0</v>
      </c>
      <c r="Q80" s="32">
        <v>0</v>
      </c>
      <c r="R80" s="32">
        <v>64.614545456539403</v>
      </c>
      <c r="S80" s="32">
        <v>15.997970007126046</v>
      </c>
      <c r="T80" s="32">
        <v>133.46703980780114</v>
      </c>
      <c r="U80" s="32">
        <v>190.15206279856767</v>
      </c>
      <c r="V80" s="32" t="s">
        <v>611</v>
      </c>
      <c r="W80" s="32" t="s">
        <v>611</v>
      </c>
      <c r="X80" s="32" t="s">
        <v>611</v>
      </c>
      <c r="Y80" s="32" t="s">
        <v>611</v>
      </c>
      <c r="Z80" s="32">
        <v>0</v>
      </c>
      <c r="AA80" s="32">
        <v>0</v>
      </c>
      <c r="AB80" s="32">
        <v>0</v>
      </c>
      <c r="AC80" s="32">
        <v>0</v>
      </c>
      <c r="AD80" s="32">
        <v>0</v>
      </c>
      <c r="AE80" s="32">
        <v>0</v>
      </c>
      <c r="AF80" s="32">
        <v>0</v>
      </c>
      <c r="AG80" s="32">
        <v>-176.38229806324742</v>
      </c>
      <c r="AH80" s="32">
        <v>64.614545456539403</v>
      </c>
      <c r="AI80" s="32">
        <v>15.997970007126046</v>
      </c>
      <c r="AJ80" s="32">
        <v>133.46703980780114</v>
      </c>
      <c r="AK80" s="32">
        <v>13.769764735320251</v>
      </c>
      <c r="AL80" s="32">
        <v>227.84932000678683</v>
      </c>
      <c r="AM80" s="32">
        <v>648.69965497925489</v>
      </c>
      <c r="AN80" s="32">
        <v>111.70847221385941</v>
      </c>
      <c r="AO80" s="32">
        <v>76.040812719311432</v>
      </c>
      <c r="AP80" s="32">
        <v>0</v>
      </c>
      <c r="AQ80" s="32">
        <v>836.44893991242577</v>
      </c>
      <c r="AR80" s="32">
        <v>64.614545456539403</v>
      </c>
      <c r="AS80" s="383">
        <v>12.945211236919285</v>
      </c>
      <c r="AT80" s="32">
        <v>648.69965497925489</v>
      </c>
      <c r="AU80" s="32">
        <v>126.36705001567803</v>
      </c>
      <c r="AV80" s="32">
        <v>77.506670499493296</v>
      </c>
      <c r="AW80" s="32">
        <v>0</v>
      </c>
      <c r="AX80" s="32">
        <v>852.57337549442627</v>
      </c>
      <c r="AY80" s="32">
        <v>15.997970007126046</v>
      </c>
      <c r="AZ80" s="383">
        <v>53.292597442966873</v>
      </c>
      <c r="BA80" s="32">
        <v>648.69965497925489</v>
      </c>
      <c r="BB80" s="32">
        <v>238.07552222953746</v>
      </c>
      <c r="BC80" s="32">
        <v>88.677517720879237</v>
      </c>
      <c r="BD80" s="32">
        <v>0</v>
      </c>
      <c r="BE80" s="32">
        <v>975.45269492967157</v>
      </c>
      <c r="BF80" s="32">
        <v>80.612515463665446</v>
      </c>
      <c r="BG80" s="32">
        <v>-13.390872850235445</v>
      </c>
      <c r="BH80" s="383">
        <v>12.100511804142103</v>
      </c>
      <c r="BI80" s="32">
        <v>3.5152487152957623</v>
      </c>
      <c r="BJ80" s="32">
        <v>0.87034340515040254</v>
      </c>
      <c r="BK80" s="32">
        <v>7.2610561121144332</v>
      </c>
      <c r="BL80" s="32">
        <v>0.74912153995289932</v>
      </c>
      <c r="BM80" s="32">
        <v>12.395769772513496</v>
      </c>
      <c r="BN80" s="32">
        <v>648.69965497925489</v>
      </c>
      <c r="BO80" s="32">
        <v>0</v>
      </c>
      <c r="BP80" s="32">
        <v>238.07552222953746</v>
      </c>
      <c r="BQ80" s="32">
        <v>0</v>
      </c>
      <c r="BR80" s="32">
        <v>0</v>
      </c>
      <c r="BS80" s="32">
        <v>0</v>
      </c>
      <c r="BT80" s="32">
        <v>0</v>
      </c>
      <c r="BU80" s="32">
        <v>0</v>
      </c>
      <c r="BV80" s="32">
        <v>0</v>
      </c>
      <c r="BW80" s="32">
        <v>88.677517720879237</v>
      </c>
      <c r="BX80" s="32">
        <v>404.23161807003424</v>
      </c>
      <c r="BY80" s="32"/>
      <c r="BZ80" s="32">
        <v>0</v>
      </c>
      <c r="CA80" s="32">
        <v>-176.38229806324742</v>
      </c>
      <c r="CB80" s="32">
        <v>975.45269492967157</v>
      </c>
      <c r="CC80" s="32">
        <v>227.84932000678683</v>
      </c>
      <c r="CD80" s="383">
        <v>2.8494430952537715</v>
      </c>
      <c r="CE80" s="32">
        <v>-5.3806951981681133</v>
      </c>
      <c r="CF80" s="32">
        <v>12.849018816081845</v>
      </c>
      <c r="CG80" s="32">
        <v>0</v>
      </c>
      <c r="CH80" s="32">
        <v>12.849018816081845</v>
      </c>
      <c r="CI80" s="32">
        <v>0.64244796735980758</v>
      </c>
      <c r="CJ80" s="32">
        <v>0</v>
      </c>
      <c r="CK80" s="32">
        <v>0.64244796735980758</v>
      </c>
      <c r="CL80" s="32"/>
      <c r="CM80" s="32">
        <v>0</v>
      </c>
      <c r="CN80" s="32"/>
      <c r="CO80" s="32">
        <v>0</v>
      </c>
      <c r="CP80" s="32">
        <v>0</v>
      </c>
      <c r="CQ80" s="32">
        <v>0</v>
      </c>
      <c r="CR80" s="32">
        <v>0</v>
      </c>
      <c r="CS80" s="32">
        <v>0</v>
      </c>
      <c r="CT80" s="32">
        <v>0</v>
      </c>
      <c r="CU80" s="32">
        <v>133.46703980780114</v>
      </c>
      <c r="CV80" s="32">
        <v>9999</v>
      </c>
      <c r="CW80" s="384">
        <v>0</v>
      </c>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row>
    <row r="81" spans="1:131">
      <c r="A81" s="11" t="s">
        <v>958</v>
      </c>
      <c r="B81" s="11" t="s">
        <v>958</v>
      </c>
      <c r="C81" s="32">
        <v>16.279069767441861</v>
      </c>
      <c r="D81" s="32">
        <v>1195.4000000000001</v>
      </c>
      <c r="E81" s="32">
        <v>0</v>
      </c>
      <c r="F81" s="32">
        <v>324.02315442591345</v>
      </c>
      <c r="G81" s="32">
        <v>-56</v>
      </c>
      <c r="H81" s="32">
        <v>0</v>
      </c>
      <c r="I81" s="32" t="s">
        <v>526</v>
      </c>
      <c r="J81" s="32"/>
      <c r="K81" s="32"/>
      <c r="L81" s="32">
        <v>1352.5220365469634</v>
      </c>
      <c r="M81" s="32">
        <v>0.3161424966166454</v>
      </c>
      <c r="N81" s="32">
        <v>0.29994544271028972</v>
      </c>
      <c r="O81" s="32">
        <v>0</v>
      </c>
      <c r="P81" s="32">
        <v>0</v>
      </c>
      <c r="Q81" s="32">
        <v>0</v>
      </c>
      <c r="R81" s="32">
        <v>64.614545456539403</v>
      </c>
      <c r="S81" s="32">
        <v>15.997970007126046</v>
      </c>
      <c r="T81" s="32">
        <v>133.46703980780114</v>
      </c>
      <c r="U81" s="32">
        <v>190.15206279856767</v>
      </c>
      <c r="V81" s="32" t="s">
        <v>611</v>
      </c>
      <c r="W81" s="32" t="s">
        <v>611</v>
      </c>
      <c r="X81" s="32" t="s">
        <v>611</v>
      </c>
      <c r="Y81" s="32" t="s">
        <v>611</v>
      </c>
      <c r="Z81" s="32">
        <v>0</v>
      </c>
      <c r="AA81" s="32">
        <v>0</v>
      </c>
      <c r="AB81" s="32">
        <v>0</v>
      </c>
      <c r="AC81" s="32">
        <v>-761.05827531819057</v>
      </c>
      <c r="AD81" s="32">
        <v>0</v>
      </c>
      <c r="AE81" s="32">
        <v>0</v>
      </c>
      <c r="AF81" s="32">
        <v>0</v>
      </c>
      <c r="AG81" s="32">
        <v>0</v>
      </c>
      <c r="AH81" s="32">
        <v>64.614545456539403</v>
      </c>
      <c r="AI81" s="32">
        <v>15.997970007126046</v>
      </c>
      <c r="AJ81" s="32">
        <v>133.46703980780114</v>
      </c>
      <c r="AK81" s="32">
        <v>-570.90621251962284</v>
      </c>
      <c r="AL81" s="32">
        <v>-356.82665724815632</v>
      </c>
      <c r="AM81" s="32">
        <v>648.69965497925489</v>
      </c>
      <c r="AN81" s="32">
        <v>111.70847221385941</v>
      </c>
      <c r="AO81" s="32">
        <v>76.040812719311432</v>
      </c>
      <c r="AP81" s="32">
        <v>0</v>
      </c>
      <c r="AQ81" s="32">
        <v>836.44893991242577</v>
      </c>
      <c r="AR81" s="32">
        <v>64.614545456539403</v>
      </c>
      <c r="AS81" s="383">
        <v>12.945211236919285</v>
      </c>
      <c r="AT81" s="32">
        <v>648.69965497925489</v>
      </c>
      <c r="AU81" s="32">
        <v>126.36705001567803</v>
      </c>
      <c r="AV81" s="32">
        <v>77.506670499493296</v>
      </c>
      <c r="AW81" s="32">
        <v>0</v>
      </c>
      <c r="AX81" s="32">
        <v>852.57337549442627</v>
      </c>
      <c r="AY81" s="32">
        <v>15.997970007126046</v>
      </c>
      <c r="AZ81" s="383">
        <v>53.292597442966873</v>
      </c>
      <c r="BA81" s="32">
        <v>648.69965497925489</v>
      </c>
      <c r="BB81" s="32">
        <v>238.07552222953746</v>
      </c>
      <c r="BC81" s="32">
        <v>88.677517720879237</v>
      </c>
      <c r="BD81" s="32">
        <v>0</v>
      </c>
      <c r="BE81" s="32">
        <v>975.45269492967157</v>
      </c>
      <c r="BF81" s="32">
        <v>80.612515463665446</v>
      </c>
      <c r="BG81" s="32">
        <v>-13.390872850235445</v>
      </c>
      <c r="BH81" s="383">
        <v>12.100511804142103</v>
      </c>
      <c r="BI81" s="32">
        <v>3.5152487152957623</v>
      </c>
      <c r="BJ81" s="32">
        <v>0.87034340515040254</v>
      </c>
      <c r="BK81" s="32">
        <v>7.2610561121144332</v>
      </c>
      <c r="BL81" s="32">
        <v>-31.059219188716977</v>
      </c>
      <c r="BM81" s="32">
        <v>-19.41257095615638</v>
      </c>
      <c r="BN81" s="32">
        <v>648.69965497925489</v>
      </c>
      <c r="BO81" s="32">
        <v>0</v>
      </c>
      <c r="BP81" s="32">
        <v>238.07552222953746</v>
      </c>
      <c r="BQ81" s="32">
        <v>0</v>
      </c>
      <c r="BR81" s="32">
        <v>0</v>
      </c>
      <c r="BS81" s="32">
        <v>0</v>
      </c>
      <c r="BT81" s="32">
        <v>0</v>
      </c>
      <c r="BU81" s="32">
        <v>0</v>
      </c>
      <c r="BV81" s="32">
        <v>0</v>
      </c>
      <c r="BW81" s="32">
        <v>88.677517720879237</v>
      </c>
      <c r="BX81" s="32">
        <v>404.23161807003424</v>
      </c>
      <c r="BY81" s="32"/>
      <c r="BZ81" s="32">
        <v>-761.05827531819057</v>
      </c>
      <c r="CA81" s="32">
        <v>0</v>
      </c>
      <c r="CB81" s="32">
        <v>975.45269492967157</v>
      </c>
      <c r="CC81" s="32">
        <v>-356.82665724815632</v>
      </c>
      <c r="CD81" s="383">
        <v>4.2958316287544998</v>
      </c>
      <c r="CE81" s="32">
        <v>-37.189035926837981</v>
      </c>
      <c r="CF81" s="32">
        <v>12.849018816081845</v>
      </c>
      <c r="CG81" s="32">
        <v>0</v>
      </c>
      <c r="CH81" s="32">
        <v>12.849018816081845</v>
      </c>
      <c r="CI81" s="32">
        <v>0.64244796735980758</v>
      </c>
      <c r="CJ81" s="32">
        <v>0</v>
      </c>
      <c r="CK81" s="32">
        <v>0.64244796735980758</v>
      </c>
      <c r="CL81" s="32"/>
      <c r="CM81" s="32">
        <v>0</v>
      </c>
      <c r="CN81" s="32"/>
      <c r="CO81" s="32">
        <v>0</v>
      </c>
      <c r="CP81" s="32">
        <v>0</v>
      </c>
      <c r="CQ81" s="32">
        <v>0</v>
      </c>
      <c r="CR81" s="32">
        <v>0</v>
      </c>
      <c r="CS81" s="32">
        <v>0</v>
      </c>
      <c r="CT81" s="32">
        <v>0</v>
      </c>
      <c r="CU81" s="32">
        <v>133.46703980780114</v>
      </c>
      <c r="CV81" s="32">
        <v>9999</v>
      </c>
      <c r="CW81" s="384">
        <v>0</v>
      </c>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row>
    <row r="82" spans="1:131">
      <c r="A82" s="11" t="s">
        <v>874</v>
      </c>
      <c r="B82" s="11" t="s">
        <v>874</v>
      </c>
      <c r="C82" s="32">
        <v>16.279069767441861</v>
      </c>
      <c r="D82" s="32">
        <v>2919.7</v>
      </c>
      <c r="E82" s="32">
        <v>0</v>
      </c>
      <c r="F82" s="32">
        <v>972.0694632777404</v>
      </c>
      <c r="G82" s="32">
        <v>0</v>
      </c>
      <c r="H82" s="32">
        <v>-180.63247392019312</v>
      </c>
      <c r="I82" s="32" t="s">
        <v>526</v>
      </c>
      <c r="J82" s="32"/>
      <c r="K82" s="32"/>
      <c r="L82" s="32">
        <v>3303.4620964582305</v>
      </c>
      <c r="M82" s="32">
        <v>0.77216098993777771</v>
      </c>
      <c r="N82" s="32">
        <v>0.73260055971326143</v>
      </c>
      <c r="O82" s="32">
        <v>0</v>
      </c>
      <c r="P82" s="32">
        <v>0</v>
      </c>
      <c r="Q82" s="32">
        <v>0</v>
      </c>
      <c r="R82" s="32">
        <v>193.8436363696182</v>
      </c>
      <c r="S82" s="32">
        <v>47.993910021378142</v>
      </c>
      <c r="T82" s="32">
        <v>400.40111942340354</v>
      </c>
      <c r="U82" s="32">
        <v>570.45618839570307</v>
      </c>
      <c r="V82" s="32" t="s">
        <v>611</v>
      </c>
      <c r="W82" s="32" t="s">
        <v>611</v>
      </c>
      <c r="X82" s="32" t="s">
        <v>611</v>
      </c>
      <c r="Y82" s="32" t="s">
        <v>611</v>
      </c>
      <c r="Z82" s="32">
        <v>0</v>
      </c>
      <c r="AA82" s="32">
        <v>0</v>
      </c>
      <c r="AB82" s="32">
        <v>0</v>
      </c>
      <c r="AC82" s="32">
        <v>0</v>
      </c>
      <c r="AD82" s="32">
        <v>0</v>
      </c>
      <c r="AE82" s="32">
        <v>0</v>
      </c>
      <c r="AF82" s="32">
        <v>0</v>
      </c>
      <c r="AG82" s="32">
        <v>-180.63247392019312</v>
      </c>
      <c r="AH82" s="32">
        <v>193.8436363696182</v>
      </c>
      <c r="AI82" s="32">
        <v>47.993910021378142</v>
      </c>
      <c r="AJ82" s="32">
        <v>400.40111942340354</v>
      </c>
      <c r="AK82" s="32">
        <v>389.82371447550997</v>
      </c>
      <c r="AL82" s="32">
        <v>1032.0623802899097</v>
      </c>
      <c r="AM82" s="32">
        <v>1584.4139055068827</v>
      </c>
      <c r="AN82" s="32">
        <v>272.84191594680038</v>
      </c>
      <c r="AO82" s="32">
        <v>185.72558214536832</v>
      </c>
      <c r="AP82" s="32">
        <v>0</v>
      </c>
      <c r="AQ82" s="32">
        <v>2042.9814035990512</v>
      </c>
      <c r="AR82" s="32">
        <v>193.8436363696182</v>
      </c>
      <c r="AS82" s="383">
        <v>10.539326654518202</v>
      </c>
      <c r="AT82" s="32">
        <v>1584.4139055068827</v>
      </c>
      <c r="AU82" s="32">
        <v>308.64470129728545</v>
      </c>
      <c r="AV82" s="32">
        <v>189.30586068041683</v>
      </c>
      <c r="AW82" s="32">
        <v>0</v>
      </c>
      <c r="AX82" s="32">
        <v>2082.364467484585</v>
      </c>
      <c r="AY82" s="32">
        <v>47.993910021378142</v>
      </c>
      <c r="AZ82" s="383">
        <v>43.388097918194788</v>
      </c>
      <c r="BA82" s="32">
        <v>1584.4139055068827</v>
      </c>
      <c r="BB82" s="32">
        <v>581.48661724408589</v>
      </c>
      <c r="BC82" s="32">
        <v>216.59005227509687</v>
      </c>
      <c r="BD82" s="32">
        <v>0</v>
      </c>
      <c r="BE82" s="32">
        <v>2382.490575026065</v>
      </c>
      <c r="BF82" s="32">
        <v>241.83754639099635</v>
      </c>
      <c r="BG82" s="32">
        <v>-12.389743573844914</v>
      </c>
      <c r="BH82" s="383">
        <v>9.8516157254346233</v>
      </c>
      <c r="BI82" s="32">
        <v>4.3176987165783007</v>
      </c>
      <c r="BJ82" s="32">
        <v>1.0690226802583738</v>
      </c>
      <c r="BK82" s="32">
        <v>8.918587330638351</v>
      </c>
      <c r="BL82" s="32">
        <v>8.6829848181000191</v>
      </c>
      <c r="BM82" s="32">
        <v>22.98829354557504</v>
      </c>
      <c r="BN82" s="32">
        <v>1584.4139055068827</v>
      </c>
      <c r="BO82" s="32">
        <v>0</v>
      </c>
      <c r="BP82" s="32">
        <v>581.48661724408589</v>
      </c>
      <c r="BQ82" s="32">
        <v>0</v>
      </c>
      <c r="BR82" s="32">
        <v>0</v>
      </c>
      <c r="BS82" s="32">
        <v>0</v>
      </c>
      <c r="BT82" s="32">
        <v>0</v>
      </c>
      <c r="BU82" s="32">
        <v>0</v>
      </c>
      <c r="BV82" s="32">
        <v>0</v>
      </c>
      <c r="BW82" s="32">
        <v>216.59005227509687</v>
      </c>
      <c r="BX82" s="32">
        <v>1212.6948542101029</v>
      </c>
      <c r="BY82" s="32"/>
      <c r="BZ82" s="32">
        <v>0</v>
      </c>
      <c r="CA82" s="32">
        <v>-180.63247392019312</v>
      </c>
      <c r="CB82" s="32">
        <v>2382.490575026065</v>
      </c>
      <c r="CC82" s="32">
        <v>1032.0623802899097</v>
      </c>
      <c r="CD82" s="383">
        <v>2.11357625543465</v>
      </c>
      <c r="CE82" s="32">
        <v>5.2118285748934472</v>
      </c>
      <c r="CF82" s="32">
        <v>31.383035165897827</v>
      </c>
      <c r="CG82" s="32">
        <v>0</v>
      </c>
      <c r="CH82" s="32">
        <v>31.383035165897827</v>
      </c>
      <c r="CI82" s="32">
        <v>1.5691444958176588</v>
      </c>
      <c r="CJ82" s="32">
        <v>0</v>
      </c>
      <c r="CK82" s="32">
        <v>1.5691444958176588</v>
      </c>
      <c r="CL82" s="32"/>
      <c r="CM82" s="32">
        <v>0</v>
      </c>
      <c r="CN82" s="32"/>
      <c r="CO82" s="32">
        <v>0</v>
      </c>
      <c r="CP82" s="32">
        <v>0</v>
      </c>
      <c r="CQ82" s="32">
        <v>0</v>
      </c>
      <c r="CR82" s="32">
        <v>0</v>
      </c>
      <c r="CS82" s="32">
        <v>0</v>
      </c>
      <c r="CT82" s="32">
        <v>0</v>
      </c>
      <c r="CU82" s="32">
        <v>400.40111942340354</v>
      </c>
      <c r="CV82" s="32">
        <v>9999</v>
      </c>
      <c r="CW82" s="384">
        <v>0</v>
      </c>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row>
    <row r="83" spans="1:131">
      <c r="A83" s="11" t="s">
        <v>875</v>
      </c>
      <c r="B83" s="11" t="s">
        <v>875</v>
      </c>
      <c r="C83" s="32">
        <v>16.279069767441861</v>
      </c>
      <c r="D83" s="32">
        <v>2919.7</v>
      </c>
      <c r="E83" s="32">
        <v>0</v>
      </c>
      <c r="F83" s="32">
        <v>972.0694632777404</v>
      </c>
      <c r="G83" s="32">
        <v>-56</v>
      </c>
      <c r="H83" s="32">
        <v>0</v>
      </c>
      <c r="I83" s="32" t="s">
        <v>526</v>
      </c>
      <c r="J83" s="32"/>
      <c r="K83" s="32"/>
      <c r="L83" s="32">
        <v>3303.4620964582305</v>
      </c>
      <c r="M83" s="32">
        <v>0.77216098993777771</v>
      </c>
      <c r="N83" s="32">
        <v>0.73260055971326143</v>
      </c>
      <c r="O83" s="32">
        <v>0</v>
      </c>
      <c r="P83" s="32">
        <v>0</v>
      </c>
      <c r="Q83" s="32">
        <v>0</v>
      </c>
      <c r="R83" s="32">
        <v>193.8436363696182</v>
      </c>
      <c r="S83" s="32">
        <v>47.993910021378142</v>
      </c>
      <c r="T83" s="32">
        <v>400.40111942340354</v>
      </c>
      <c r="U83" s="32">
        <v>570.45618839570307</v>
      </c>
      <c r="V83" s="32" t="s">
        <v>611</v>
      </c>
      <c r="W83" s="32" t="s">
        <v>611</v>
      </c>
      <c r="X83" s="32" t="s">
        <v>611</v>
      </c>
      <c r="Y83" s="32" t="s">
        <v>611</v>
      </c>
      <c r="Z83" s="32">
        <v>0</v>
      </c>
      <c r="AA83" s="32">
        <v>0</v>
      </c>
      <c r="AB83" s="32">
        <v>0</v>
      </c>
      <c r="AC83" s="32">
        <v>-761.05827531819057</v>
      </c>
      <c r="AD83" s="32">
        <v>0</v>
      </c>
      <c r="AE83" s="32">
        <v>0</v>
      </c>
      <c r="AF83" s="32">
        <v>0</v>
      </c>
      <c r="AG83" s="32">
        <v>0</v>
      </c>
      <c r="AH83" s="32">
        <v>193.8436363696182</v>
      </c>
      <c r="AI83" s="32">
        <v>47.993910021378142</v>
      </c>
      <c r="AJ83" s="32">
        <v>400.40111942340354</v>
      </c>
      <c r="AK83" s="32">
        <v>-190.6020869224875</v>
      </c>
      <c r="AL83" s="32">
        <v>451.63657889191234</v>
      </c>
      <c r="AM83" s="32">
        <v>1584.4139055068827</v>
      </c>
      <c r="AN83" s="32">
        <v>272.84191594680038</v>
      </c>
      <c r="AO83" s="32">
        <v>185.72558214536832</v>
      </c>
      <c r="AP83" s="32">
        <v>0</v>
      </c>
      <c r="AQ83" s="32">
        <v>2042.9814035990512</v>
      </c>
      <c r="AR83" s="32">
        <v>193.8436363696182</v>
      </c>
      <c r="AS83" s="383">
        <v>10.539326654518202</v>
      </c>
      <c r="AT83" s="32">
        <v>1584.4139055068827</v>
      </c>
      <c r="AU83" s="32">
        <v>308.64470129728545</v>
      </c>
      <c r="AV83" s="32">
        <v>189.30586068041683</v>
      </c>
      <c r="AW83" s="32">
        <v>0</v>
      </c>
      <c r="AX83" s="32">
        <v>2082.364467484585</v>
      </c>
      <c r="AY83" s="32">
        <v>47.993910021378142</v>
      </c>
      <c r="AZ83" s="383">
        <v>43.388097918194788</v>
      </c>
      <c r="BA83" s="32">
        <v>1584.4139055068827</v>
      </c>
      <c r="BB83" s="32">
        <v>581.48661724408589</v>
      </c>
      <c r="BC83" s="32">
        <v>216.59005227509687</v>
      </c>
      <c r="BD83" s="32">
        <v>0</v>
      </c>
      <c r="BE83" s="32">
        <v>2382.490575026065</v>
      </c>
      <c r="BF83" s="32">
        <v>241.83754639099635</v>
      </c>
      <c r="BG83" s="32">
        <v>-12.389743573844914</v>
      </c>
      <c r="BH83" s="383">
        <v>9.8516157254346233</v>
      </c>
      <c r="BI83" s="32">
        <v>4.3176987165783007</v>
      </c>
      <c r="BJ83" s="32">
        <v>1.0690226802583738</v>
      </c>
      <c r="BK83" s="32">
        <v>8.918587330638351</v>
      </c>
      <c r="BL83" s="32">
        <v>-4.2454960167645499</v>
      </c>
      <c r="BM83" s="32">
        <v>10.059812710710474</v>
      </c>
      <c r="BN83" s="32">
        <v>1584.4139055068827</v>
      </c>
      <c r="BO83" s="32">
        <v>0</v>
      </c>
      <c r="BP83" s="32">
        <v>581.48661724408589</v>
      </c>
      <c r="BQ83" s="32">
        <v>0</v>
      </c>
      <c r="BR83" s="32">
        <v>0</v>
      </c>
      <c r="BS83" s="32">
        <v>0</v>
      </c>
      <c r="BT83" s="32">
        <v>0</v>
      </c>
      <c r="BU83" s="32">
        <v>0</v>
      </c>
      <c r="BV83" s="32">
        <v>0</v>
      </c>
      <c r="BW83" s="32">
        <v>216.59005227509687</v>
      </c>
      <c r="BX83" s="32">
        <v>1212.6948542101029</v>
      </c>
      <c r="BY83" s="32"/>
      <c r="BZ83" s="32">
        <v>-761.05827531819057</v>
      </c>
      <c r="CA83" s="32">
        <v>0</v>
      </c>
      <c r="CB83" s="32">
        <v>2382.490575026065</v>
      </c>
      <c r="CC83" s="32">
        <v>451.63657889191234</v>
      </c>
      <c r="CD83" s="383">
        <v>2.5922010301526575</v>
      </c>
      <c r="CE83" s="32">
        <v>-7.7166522599711165</v>
      </c>
      <c r="CF83" s="32">
        <v>31.383035165897827</v>
      </c>
      <c r="CG83" s="32">
        <v>0</v>
      </c>
      <c r="CH83" s="32">
        <v>31.383035165897827</v>
      </c>
      <c r="CI83" s="32">
        <v>1.5691444958176588</v>
      </c>
      <c r="CJ83" s="32">
        <v>0</v>
      </c>
      <c r="CK83" s="32">
        <v>1.5691444958176588</v>
      </c>
      <c r="CL83" s="32"/>
      <c r="CM83" s="32">
        <v>0</v>
      </c>
      <c r="CN83" s="32"/>
      <c r="CO83" s="32">
        <v>0</v>
      </c>
      <c r="CP83" s="32">
        <v>0</v>
      </c>
      <c r="CQ83" s="32">
        <v>0</v>
      </c>
      <c r="CR83" s="32">
        <v>0</v>
      </c>
      <c r="CS83" s="32">
        <v>0</v>
      </c>
      <c r="CT83" s="32">
        <v>0</v>
      </c>
      <c r="CU83" s="32">
        <v>400.40111942340354</v>
      </c>
      <c r="CV83" s="32">
        <v>9999</v>
      </c>
      <c r="CW83" s="384">
        <v>0</v>
      </c>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row>
    <row r="84" spans="1:131">
      <c r="A84" s="11"/>
      <c r="B84" s="1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row>
    <row r="85" spans="1:131">
      <c r="A85" s="11"/>
      <c r="B85" s="11"/>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row>
    <row r="86" spans="1:131" ht="13.5" thickBot="1">
      <c r="A86" s="368" t="s">
        <v>612</v>
      </c>
      <c r="B86" s="370"/>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row>
    <row r="87" spans="1:131" ht="26.25" thickBot="1">
      <c r="A87" s="373" t="s">
        <v>291</v>
      </c>
      <c r="B87" s="374"/>
      <c r="C87" s="375" t="s">
        <v>292</v>
      </c>
      <c r="D87" s="376"/>
      <c r="E87" s="376"/>
      <c r="F87" s="376"/>
      <c r="G87" s="376"/>
      <c r="H87" s="376"/>
      <c r="I87" s="376"/>
      <c r="J87" s="376"/>
      <c r="K87" s="377"/>
      <c r="L87" s="375" t="s">
        <v>102</v>
      </c>
      <c r="M87" s="376"/>
      <c r="N87" s="376"/>
      <c r="O87" s="376"/>
      <c r="P87" s="376"/>
      <c r="Q87" s="377"/>
      <c r="R87" s="375" t="s">
        <v>293</v>
      </c>
      <c r="S87" s="376"/>
      <c r="T87" s="376"/>
      <c r="U87" s="377"/>
      <c r="V87" s="375" t="s">
        <v>294</v>
      </c>
      <c r="W87" s="376"/>
      <c r="X87" s="376"/>
      <c r="Y87" s="377"/>
      <c r="Z87" s="375" t="s">
        <v>295</v>
      </c>
      <c r="AA87" s="376"/>
      <c r="AB87" s="376"/>
      <c r="AC87" s="377"/>
      <c r="AD87" s="375" t="s">
        <v>296</v>
      </c>
      <c r="AE87" s="376"/>
      <c r="AF87" s="376"/>
      <c r="AG87" s="377"/>
      <c r="AH87" s="375" t="s">
        <v>297</v>
      </c>
      <c r="AI87" s="376"/>
      <c r="AJ87" s="376"/>
      <c r="AK87" s="376"/>
      <c r="AL87" s="377"/>
      <c r="AM87" s="375" t="s">
        <v>298</v>
      </c>
      <c r="AN87" s="376"/>
      <c r="AO87" s="376"/>
      <c r="AP87" s="376"/>
      <c r="AQ87" s="376"/>
      <c r="AR87" s="376"/>
      <c r="AS87" s="377"/>
      <c r="AT87" s="375" t="s">
        <v>299</v>
      </c>
      <c r="AU87" s="376"/>
      <c r="AV87" s="376"/>
      <c r="AW87" s="376"/>
      <c r="AX87" s="376"/>
      <c r="AY87" s="376"/>
      <c r="AZ87" s="377"/>
      <c r="BA87" s="375" t="s">
        <v>300</v>
      </c>
      <c r="BB87" s="376"/>
      <c r="BC87" s="376"/>
      <c r="BD87" s="376"/>
      <c r="BE87" s="376"/>
      <c r="BF87" s="377"/>
      <c r="BG87" s="375" t="s">
        <v>301</v>
      </c>
      <c r="BH87" s="377"/>
      <c r="BI87" s="375" t="s">
        <v>302</v>
      </c>
      <c r="BJ87" s="376"/>
      <c r="BK87" s="376"/>
      <c r="BL87" s="376"/>
      <c r="BM87" s="377"/>
      <c r="BN87" s="375" t="s">
        <v>303</v>
      </c>
      <c r="BO87" s="376"/>
      <c r="BP87" s="376"/>
      <c r="BQ87" s="376"/>
      <c r="BR87" s="376"/>
      <c r="BS87" s="376"/>
      <c r="BT87" s="376"/>
      <c r="BU87" s="376"/>
      <c r="BV87" s="376"/>
      <c r="BW87" s="376"/>
      <c r="BX87" s="376"/>
      <c r="BY87" s="376"/>
      <c r="BZ87" s="376"/>
      <c r="CA87" s="376"/>
      <c r="CB87" s="376"/>
      <c r="CC87" s="377"/>
      <c r="CD87" s="375" t="s">
        <v>304</v>
      </c>
      <c r="CE87" s="377"/>
      <c r="CF87" s="375" t="s">
        <v>305</v>
      </c>
      <c r="CG87" s="376"/>
      <c r="CH87" s="376"/>
      <c r="CI87" s="376"/>
      <c r="CJ87" s="376"/>
      <c r="CK87" s="377"/>
      <c r="CL87" s="378"/>
      <c r="CM87" s="375" t="s">
        <v>15</v>
      </c>
      <c r="CN87" s="376"/>
      <c r="CO87" s="376"/>
      <c r="CP87" s="377"/>
      <c r="CQ87" s="375" t="s">
        <v>306</v>
      </c>
      <c r="CR87" s="376"/>
      <c r="CS87" s="376"/>
      <c r="CT87" s="376"/>
      <c r="CU87" s="377"/>
      <c r="CV87" s="375" t="s">
        <v>307</v>
      </c>
      <c r="CW87" s="377"/>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row>
    <row r="88" spans="1:131" ht="127.5">
      <c r="A88" s="379" t="s">
        <v>308</v>
      </c>
      <c r="B88" s="380" t="s">
        <v>309</v>
      </c>
      <c r="C88" s="381" t="s">
        <v>8</v>
      </c>
      <c r="D88" s="381" t="s">
        <v>310</v>
      </c>
      <c r="E88" s="381" t="s">
        <v>311</v>
      </c>
      <c r="F88" s="381" t="s">
        <v>312</v>
      </c>
      <c r="G88" s="381" t="s">
        <v>313</v>
      </c>
      <c r="H88" s="381" t="s">
        <v>314</v>
      </c>
      <c r="I88" s="381" t="s">
        <v>315</v>
      </c>
      <c r="J88" s="381" t="s">
        <v>316</v>
      </c>
      <c r="K88" s="381" t="s">
        <v>317</v>
      </c>
      <c r="L88" s="381" t="s">
        <v>318</v>
      </c>
      <c r="M88" s="381" t="s">
        <v>319</v>
      </c>
      <c r="N88" s="381" t="s">
        <v>320</v>
      </c>
      <c r="O88" s="381" t="s">
        <v>321</v>
      </c>
      <c r="P88" s="381" t="s">
        <v>322</v>
      </c>
      <c r="Q88" s="381" t="s">
        <v>323</v>
      </c>
      <c r="R88" s="381" t="s">
        <v>324</v>
      </c>
      <c r="S88" s="381" t="s">
        <v>325</v>
      </c>
      <c r="T88" s="381" t="s">
        <v>326</v>
      </c>
      <c r="U88" s="381" t="s">
        <v>327</v>
      </c>
      <c r="V88" s="381" t="s">
        <v>324</v>
      </c>
      <c r="W88" s="381" t="s">
        <v>325</v>
      </c>
      <c r="X88" s="381" t="s">
        <v>326</v>
      </c>
      <c r="Y88" s="381" t="s">
        <v>327</v>
      </c>
      <c r="Z88" s="381" t="s">
        <v>324</v>
      </c>
      <c r="AA88" s="381" t="s">
        <v>325</v>
      </c>
      <c r="AB88" s="381" t="s">
        <v>326</v>
      </c>
      <c r="AC88" s="381" t="s">
        <v>327</v>
      </c>
      <c r="AD88" s="381" t="s">
        <v>324</v>
      </c>
      <c r="AE88" s="381" t="s">
        <v>325</v>
      </c>
      <c r="AF88" s="381" t="s">
        <v>326</v>
      </c>
      <c r="AG88" s="381" t="s">
        <v>327</v>
      </c>
      <c r="AH88" s="381" t="s">
        <v>324</v>
      </c>
      <c r="AI88" s="381" t="s">
        <v>325</v>
      </c>
      <c r="AJ88" s="381" t="s">
        <v>326</v>
      </c>
      <c r="AK88" s="381" t="s">
        <v>327</v>
      </c>
      <c r="AL88" s="381" t="s">
        <v>156</v>
      </c>
      <c r="AM88" s="381" t="s">
        <v>328</v>
      </c>
      <c r="AN88" s="381" t="s">
        <v>329</v>
      </c>
      <c r="AO88" s="381" t="s">
        <v>330</v>
      </c>
      <c r="AP88" s="381" t="s">
        <v>331</v>
      </c>
      <c r="AQ88" s="381" t="s">
        <v>332</v>
      </c>
      <c r="AR88" s="381" t="s">
        <v>333</v>
      </c>
      <c r="AS88" s="381" t="s">
        <v>334</v>
      </c>
      <c r="AT88" s="381" t="s">
        <v>335</v>
      </c>
      <c r="AU88" s="381" t="s">
        <v>336</v>
      </c>
      <c r="AV88" s="381" t="s">
        <v>337</v>
      </c>
      <c r="AW88" s="381" t="s">
        <v>338</v>
      </c>
      <c r="AX88" s="381" t="s">
        <v>339</v>
      </c>
      <c r="AY88" s="381" t="s">
        <v>340</v>
      </c>
      <c r="AZ88" s="381" t="s">
        <v>341</v>
      </c>
      <c r="BA88" s="381" t="s">
        <v>342</v>
      </c>
      <c r="BB88" s="381" t="s">
        <v>343</v>
      </c>
      <c r="BC88" s="381" t="s">
        <v>344</v>
      </c>
      <c r="BD88" s="381" t="s">
        <v>345</v>
      </c>
      <c r="BE88" s="381" t="s">
        <v>346</v>
      </c>
      <c r="BF88" s="381" t="s">
        <v>347</v>
      </c>
      <c r="BG88" s="381" t="s">
        <v>348</v>
      </c>
      <c r="BH88" s="381" t="s">
        <v>349</v>
      </c>
      <c r="BI88" s="381" t="s">
        <v>350</v>
      </c>
      <c r="BJ88" s="381" t="s">
        <v>351</v>
      </c>
      <c r="BK88" s="381" t="s">
        <v>352</v>
      </c>
      <c r="BL88" s="381" t="s">
        <v>353</v>
      </c>
      <c r="BM88" s="381" t="s">
        <v>354</v>
      </c>
      <c r="BN88" s="381" t="s">
        <v>355</v>
      </c>
      <c r="BO88" s="381" t="s">
        <v>356</v>
      </c>
      <c r="BP88" s="381" t="s">
        <v>357</v>
      </c>
      <c r="BQ88" s="381" t="s">
        <v>358</v>
      </c>
      <c r="BR88" s="381" t="s">
        <v>359</v>
      </c>
      <c r="BS88" s="381" t="s">
        <v>360</v>
      </c>
      <c r="BT88" s="381" t="s">
        <v>361</v>
      </c>
      <c r="BU88" s="381" t="s">
        <v>362</v>
      </c>
      <c r="BV88" s="381" t="s">
        <v>363</v>
      </c>
      <c r="BW88" s="381" t="s">
        <v>364</v>
      </c>
      <c r="BX88" s="381" t="s">
        <v>365</v>
      </c>
      <c r="BY88" s="381" t="s">
        <v>366</v>
      </c>
      <c r="BZ88" s="381" t="s">
        <v>367</v>
      </c>
      <c r="CA88" s="381" t="s">
        <v>368</v>
      </c>
      <c r="CB88" s="381" t="s">
        <v>369</v>
      </c>
      <c r="CC88" s="381" t="s">
        <v>370</v>
      </c>
      <c r="CD88" s="381" t="s">
        <v>371</v>
      </c>
      <c r="CE88" s="381" t="s">
        <v>372</v>
      </c>
      <c r="CF88" s="381" t="s">
        <v>373</v>
      </c>
      <c r="CG88" s="381" t="s">
        <v>374</v>
      </c>
      <c r="CH88" s="381" t="s">
        <v>375</v>
      </c>
      <c r="CI88" s="381" t="s">
        <v>608</v>
      </c>
      <c r="CJ88" s="381" t="s">
        <v>609</v>
      </c>
      <c r="CK88" s="381" t="s">
        <v>610</v>
      </c>
      <c r="CL88" s="381"/>
      <c r="CM88" s="381" t="s">
        <v>376</v>
      </c>
      <c r="CN88" s="381" t="s">
        <v>377</v>
      </c>
      <c r="CO88" s="381" t="s">
        <v>378</v>
      </c>
      <c r="CP88" s="381" t="s">
        <v>379</v>
      </c>
      <c r="CQ88" s="381" t="s">
        <v>380</v>
      </c>
      <c r="CR88" s="381" t="s">
        <v>381</v>
      </c>
      <c r="CS88" s="381" t="s">
        <v>382</v>
      </c>
      <c r="CT88" s="381" t="s">
        <v>383</v>
      </c>
      <c r="CU88" s="381" t="s">
        <v>384</v>
      </c>
      <c r="CV88" s="381" t="s">
        <v>385</v>
      </c>
      <c r="CW88" s="381" t="s">
        <v>386</v>
      </c>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row>
    <row r="89" spans="1:131">
      <c r="A89" s="11" t="s">
        <v>527</v>
      </c>
      <c r="B89" s="11"/>
      <c r="C89" s="32">
        <v>16.279069767441861</v>
      </c>
      <c r="D89" s="32">
        <v>339.69999999999993</v>
      </c>
      <c r="E89" s="32">
        <v>0</v>
      </c>
      <c r="F89" s="32">
        <v>-8.5918959509302795</v>
      </c>
      <c r="G89" s="32">
        <v>0</v>
      </c>
      <c r="H89" s="32">
        <v>-151.98287973940262</v>
      </c>
      <c r="I89" s="32"/>
      <c r="J89" s="32"/>
      <c r="K89" s="32"/>
      <c r="L89" s="32">
        <v>384.34978736406504</v>
      </c>
      <c r="M89" s="32">
        <v>8.9839054793938777E-2</v>
      </c>
      <c r="N89" s="32">
        <v>8.523629487090964E-2</v>
      </c>
      <c r="O89" s="32">
        <v>0</v>
      </c>
      <c r="P89" s="32">
        <v>0</v>
      </c>
      <c r="Q89" s="32">
        <v>0</v>
      </c>
      <c r="R89" s="32">
        <v>-1.713338827476222</v>
      </c>
      <c r="S89" s="32">
        <v>-0.42420701067138822</v>
      </c>
      <c r="T89" s="32">
        <v>-3.5390523894473516</v>
      </c>
      <c r="U89" s="32">
        <v>-5.0421296012461596</v>
      </c>
      <c r="V89" s="32">
        <v>-0.51551375705581681</v>
      </c>
      <c r="W89" s="32">
        <v>-0.12887843926395418</v>
      </c>
      <c r="X89" s="32">
        <v>-1.0739869938662849</v>
      </c>
      <c r="Y89" s="32">
        <v>0</v>
      </c>
      <c r="Z89" s="32">
        <v>0</v>
      </c>
      <c r="AA89" s="32">
        <v>0</v>
      </c>
      <c r="AB89" s="32">
        <v>0</v>
      </c>
      <c r="AC89" s="32">
        <v>0</v>
      </c>
      <c r="AD89" s="32">
        <v>0</v>
      </c>
      <c r="AE89" s="32">
        <v>0</v>
      </c>
      <c r="AF89" s="32">
        <v>0</v>
      </c>
      <c r="AG89" s="32">
        <v>-151.98287973940262</v>
      </c>
      <c r="AH89" s="32">
        <v>-2.2288525845320386</v>
      </c>
      <c r="AI89" s="32">
        <v>-0.55308544993534237</v>
      </c>
      <c r="AJ89" s="32">
        <v>-4.6130393833136365</v>
      </c>
      <c r="AK89" s="32">
        <v>-157.02500934064878</v>
      </c>
      <c r="AL89" s="32">
        <v>-164.41998675842979</v>
      </c>
      <c r="AM89" s="32">
        <v>184.34270770993186</v>
      </c>
      <c r="AN89" s="32">
        <v>31.744493902499592</v>
      </c>
      <c r="AO89" s="32">
        <v>21.608720161243145</v>
      </c>
      <c r="AP89" s="32">
        <v>0</v>
      </c>
      <c r="AQ89" s="32">
        <v>237.6959217736746</v>
      </c>
      <c r="AR89" s="32">
        <v>-2.2288525845320386</v>
      </c>
      <c r="AS89" s="383">
        <v>9999</v>
      </c>
      <c r="AT89" s="32">
        <v>184.34270770993186</v>
      </c>
      <c r="AU89" s="32">
        <v>35.910060975678277</v>
      </c>
      <c r="AV89" s="32">
        <v>22.025276868561015</v>
      </c>
      <c r="AW89" s="32">
        <v>0</v>
      </c>
      <c r="AX89" s="32">
        <v>242.27804555417114</v>
      </c>
      <c r="AY89" s="32">
        <v>-0.55308544993534237</v>
      </c>
      <c r="AZ89" s="383">
        <v>9999</v>
      </c>
      <c r="BA89" s="32">
        <v>184.34270770993186</v>
      </c>
      <c r="BB89" s="32">
        <v>67.654554878177862</v>
      </c>
      <c r="BC89" s="32">
        <v>25.199726258810973</v>
      </c>
      <c r="BD89" s="32">
        <v>0</v>
      </c>
      <c r="BE89" s="32">
        <v>277.1969888469207</v>
      </c>
      <c r="BF89" s="32">
        <v>-2.7819380344673812</v>
      </c>
      <c r="BG89" s="32">
        <v>-18.309052412151935</v>
      </c>
      <c r="BH89" s="383">
        <v>9999</v>
      </c>
      <c r="BI89" s="32">
        <v>-0.42670213380138611</v>
      </c>
      <c r="BJ89" s="32">
        <v>-0.10588530766895043</v>
      </c>
      <c r="BK89" s="32">
        <v>-0.8831421879715905</v>
      </c>
      <c r="BL89" s="32">
        <v>-30.061614218378235</v>
      </c>
      <c r="BM89" s="32">
        <v>-31.477343847820162</v>
      </c>
      <c r="BN89" s="32">
        <v>184.34270770993186</v>
      </c>
      <c r="BO89" s="32">
        <v>0</v>
      </c>
      <c r="BP89" s="32">
        <v>67.654554878177862</v>
      </c>
      <c r="BQ89" s="32">
        <v>0</v>
      </c>
      <c r="BR89" s="32">
        <v>0</v>
      </c>
      <c r="BS89" s="32">
        <v>0</v>
      </c>
      <c r="BT89" s="32">
        <v>0</v>
      </c>
      <c r="BU89" s="32">
        <v>0</v>
      </c>
      <c r="BV89" s="32">
        <v>0</v>
      </c>
      <c r="BW89" s="32">
        <v>25.199726258810973</v>
      </c>
      <c r="BX89" s="32">
        <v>-10.718727828841121</v>
      </c>
      <c r="BY89" s="32">
        <v>-1.7183791901860559</v>
      </c>
      <c r="BZ89" s="32">
        <v>0</v>
      </c>
      <c r="CA89" s="32">
        <v>-151.98287973940262</v>
      </c>
      <c r="CB89" s="32">
        <v>277.1969888469207</v>
      </c>
      <c r="CC89" s="32">
        <v>-164.41998675842979</v>
      </c>
      <c r="CD89" s="383">
        <v>9999</v>
      </c>
      <c r="CE89" s="32">
        <v>-49.25380881850176</v>
      </c>
      <c r="CF89" s="32">
        <v>3.6513398793901684</v>
      </c>
      <c r="CG89" s="32">
        <v>0</v>
      </c>
      <c r="CH89" s="32">
        <v>3.6513398793901684</v>
      </c>
      <c r="CI89" s="32">
        <v>0.18256614899793089</v>
      </c>
      <c r="CJ89" s="32">
        <v>0</v>
      </c>
      <c r="CK89" s="32">
        <v>0.18256614899793089</v>
      </c>
      <c r="CL89" s="32"/>
      <c r="CM89" s="32">
        <v>0</v>
      </c>
      <c r="CN89" s="32"/>
      <c r="CO89" s="32">
        <v>0</v>
      </c>
      <c r="CP89" s="32">
        <v>0</v>
      </c>
      <c r="CQ89" s="32">
        <v>0</v>
      </c>
      <c r="CR89" s="32">
        <v>0</v>
      </c>
      <c r="CS89" s="32">
        <v>0</v>
      </c>
      <c r="CT89" s="32">
        <v>0</v>
      </c>
      <c r="CU89" s="32">
        <v>-4.6130393833136365</v>
      </c>
      <c r="CV89" s="32">
        <v>9999</v>
      </c>
      <c r="CW89" s="383">
        <v>9999</v>
      </c>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row>
    <row r="90" spans="1:131">
      <c r="A90" s="11" t="s">
        <v>528</v>
      </c>
      <c r="B90" s="11"/>
      <c r="C90" s="32">
        <v>16.279069767441861</v>
      </c>
      <c r="D90" s="32">
        <v>339.69999999999993</v>
      </c>
      <c r="E90" s="32">
        <v>0</v>
      </c>
      <c r="F90" s="32">
        <v>-8.5918959509302795</v>
      </c>
      <c r="G90" s="32">
        <v>-56</v>
      </c>
      <c r="H90" s="32">
        <v>0</v>
      </c>
      <c r="I90" s="32"/>
      <c r="J90" s="32"/>
      <c r="K90" s="32"/>
      <c r="L90" s="32">
        <v>384.34978736406504</v>
      </c>
      <c r="M90" s="32">
        <v>8.9839054793938777E-2</v>
      </c>
      <c r="N90" s="32">
        <v>8.523629487090964E-2</v>
      </c>
      <c r="O90" s="32">
        <v>0</v>
      </c>
      <c r="P90" s="32">
        <v>0</v>
      </c>
      <c r="Q90" s="32">
        <v>0</v>
      </c>
      <c r="R90" s="32">
        <v>-1.713338827476222</v>
      </c>
      <c r="S90" s="32">
        <v>-0.42420701067138822</v>
      </c>
      <c r="T90" s="32">
        <v>-3.5390523894473516</v>
      </c>
      <c r="U90" s="32">
        <v>-5.0421296012461596</v>
      </c>
      <c r="V90" s="32">
        <v>-0.51551375705581681</v>
      </c>
      <c r="W90" s="32">
        <v>-0.12887843926395418</v>
      </c>
      <c r="X90" s="32">
        <v>-1.0739869938662849</v>
      </c>
      <c r="Y90" s="32">
        <v>0</v>
      </c>
      <c r="Z90" s="32">
        <v>0</v>
      </c>
      <c r="AA90" s="32">
        <v>0</v>
      </c>
      <c r="AB90" s="32">
        <v>0</v>
      </c>
      <c r="AC90" s="32">
        <v>-761.05827531819057</v>
      </c>
      <c r="AD90" s="32">
        <v>0</v>
      </c>
      <c r="AE90" s="32">
        <v>0</v>
      </c>
      <c r="AF90" s="32">
        <v>0</v>
      </c>
      <c r="AG90" s="32">
        <v>0</v>
      </c>
      <c r="AH90" s="32">
        <v>-2.2288525845320386</v>
      </c>
      <c r="AI90" s="32">
        <v>-0.55308544993534237</v>
      </c>
      <c r="AJ90" s="32">
        <v>-4.6130393833136365</v>
      </c>
      <c r="AK90" s="32">
        <v>-766.10040491943676</v>
      </c>
      <c r="AL90" s="32">
        <v>-773.49538233721773</v>
      </c>
      <c r="AM90" s="32">
        <v>184.34270770993186</v>
      </c>
      <c r="AN90" s="32">
        <v>31.744493902499592</v>
      </c>
      <c r="AO90" s="32">
        <v>21.608720161243145</v>
      </c>
      <c r="AP90" s="32">
        <v>0</v>
      </c>
      <c r="AQ90" s="32">
        <v>237.6959217736746</v>
      </c>
      <c r="AR90" s="32">
        <v>-2.2288525845320386</v>
      </c>
      <c r="AS90" s="383">
        <v>9999</v>
      </c>
      <c r="AT90" s="32">
        <v>184.34270770993186</v>
      </c>
      <c r="AU90" s="32">
        <v>35.910060975678277</v>
      </c>
      <c r="AV90" s="32">
        <v>22.025276868561015</v>
      </c>
      <c r="AW90" s="32">
        <v>0</v>
      </c>
      <c r="AX90" s="32">
        <v>242.27804555417114</v>
      </c>
      <c r="AY90" s="32">
        <v>-0.55308544993534237</v>
      </c>
      <c r="AZ90" s="383">
        <v>9999</v>
      </c>
      <c r="BA90" s="32">
        <v>184.34270770993186</v>
      </c>
      <c r="BB90" s="32">
        <v>67.654554878177862</v>
      </c>
      <c r="BC90" s="32">
        <v>25.199726258810973</v>
      </c>
      <c r="BD90" s="32">
        <v>0</v>
      </c>
      <c r="BE90" s="32">
        <v>277.1969888469207</v>
      </c>
      <c r="BF90" s="32">
        <v>-2.7819380344673812</v>
      </c>
      <c r="BG90" s="32">
        <v>-18.309052412151935</v>
      </c>
      <c r="BH90" s="383">
        <v>9999</v>
      </c>
      <c r="BI90" s="32">
        <v>-0.42670213380138611</v>
      </c>
      <c r="BJ90" s="32">
        <v>-0.10588530766895043</v>
      </c>
      <c r="BK90" s="32">
        <v>-0.8831421879715905</v>
      </c>
      <c r="BL90" s="32">
        <v>-146.66590323373205</v>
      </c>
      <c r="BM90" s="32">
        <v>-148.08163286317395</v>
      </c>
      <c r="BN90" s="32">
        <v>184.34270770993186</v>
      </c>
      <c r="BO90" s="32">
        <v>0</v>
      </c>
      <c r="BP90" s="32">
        <v>67.654554878177862</v>
      </c>
      <c r="BQ90" s="32">
        <v>0</v>
      </c>
      <c r="BR90" s="32">
        <v>0</v>
      </c>
      <c r="BS90" s="32">
        <v>0</v>
      </c>
      <c r="BT90" s="32">
        <v>0</v>
      </c>
      <c r="BU90" s="32">
        <v>0</v>
      </c>
      <c r="BV90" s="32">
        <v>0</v>
      </c>
      <c r="BW90" s="32">
        <v>25.199726258810973</v>
      </c>
      <c r="BX90" s="32">
        <v>-10.718727828841121</v>
      </c>
      <c r="BY90" s="32">
        <v>-1.7183791901860559</v>
      </c>
      <c r="BZ90" s="32">
        <v>-761.05827531819057</v>
      </c>
      <c r="CA90" s="32">
        <v>0</v>
      </c>
      <c r="CB90" s="32">
        <v>277.1969888469207</v>
      </c>
      <c r="CC90" s="32">
        <v>-773.49538233721773</v>
      </c>
      <c r="CD90" s="383">
        <v>9999</v>
      </c>
      <c r="CE90" s="32">
        <v>-165.85809783385557</v>
      </c>
      <c r="CF90" s="32">
        <v>3.6513398793901684</v>
      </c>
      <c r="CG90" s="32">
        <v>0</v>
      </c>
      <c r="CH90" s="32">
        <v>3.6513398793901684</v>
      </c>
      <c r="CI90" s="32">
        <v>0.18256614899793089</v>
      </c>
      <c r="CJ90" s="32">
        <v>0</v>
      </c>
      <c r="CK90" s="32">
        <v>0.18256614899793089</v>
      </c>
      <c r="CL90" s="32"/>
      <c r="CM90" s="32">
        <v>0</v>
      </c>
      <c r="CN90" s="32"/>
      <c r="CO90" s="32">
        <v>0</v>
      </c>
      <c r="CP90" s="32">
        <v>0</v>
      </c>
      <c r="CQ90" s="32">
        <v>0</v>
      </c>
      <c r="CR90" s="32">
        <v>0</v>
      </c>
      <c r="CS90" s="32">
        <v>0</v>
      </c>
      <c r="CT90" s="32">
        <v>0</v>
      </c>
      <c r="CU90" s="32">
        <v>-4.6130393833136365</v>
      </c>
      <c r="CV90" s="32">
        <v>9999</v>
      </c>
      <c r="CW90" s="383">
        <v>9999</v>
      </c>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row>
    <row r="91" spans="1:131">
      <c r="A91" s="11" t="s">
        <v>529</v>
      </c>
      <c r="B91" s="11"/>
      <c r="C91" s="32">
        <v>16.279069767441861</v>
      </c>
      <c r="D91" s="32">
        <v>270.89999999999998</v>
      </c>
      <c r="E91" s="32">
        <v>0</v>
      </c>
      <c r="F91" s="32">
        <v>-8.5918959509302795</v>
      </c>
      <c r="G91" s="32">
        <v>0</v>
      </c>
      <c r="H91" s="32">
        <v>-151.98287973940262</v>
      </c>
      <c r="I91" s="32"/>
      <c r="J91" s="32"/>
      <c r="K91" s="32"/>
      <c r="L91" s="32">
        <v>306.50679245488732</v>
      </c>
      <c r="M91" s="32">
        <v>7.1643803190103078E-2</v>
      </c>
      <c r="N91" s="32">
        <v>6.7973247808446935E-2</v>
      </c>
      <c r="O91" s="32">
        <v>0</v>
      </c>
      <c r="P91" s="32">
        <v>0</v>
      </c>
      <c r="Q91" s="32">
        <v>0</v>
      </c>
      <c r="R91" s="32">
        <v>-1.713338827476222</v>
      </c>
      <c r="S91" s="32">
        <v>-0.42420701067138822</v>
      </c>
      <c r="T91" s="32">
        <v>-3.5390523894473516</v>
      </c>
      <c r="U91" s="32">
        <v>-5.0421296012461596</v>
      </c>
      <c r="V91" s="32">
        <v>-0.51551375705581681</v>
      </c>
      <c r="W91" s="32">
        <v>-0.12887843926395418</v>
      </c>
      <c r="X91" s="32">
        <v>-1.0739869938662849</v>
      </c>
      <c r="Y91" s="32">
        <v>0</v>
      </c>
      <c r="Z91" s="32">
        <v>0</v>
      </c>
      <c r="AA91" s="32">
        <v>0</v>
      </c>
      <c r="AB91" s="32">
        <v>0</v>
      </c>
      <c r="AC91" s="32">
        <v>0</v>
      </c>
      <c r="AD91" s="32">
        <v>0</v>
      </c>
      <c r="AE91" s="32">
        <v>0</v>
      </c>
      <c r="AF91" s="32">
        <v>0</v>
      </c>
      <c r="AG91" s="32">
        <v>-151.98287973940262</v>
      </c>
      <c r="AH91" s="32">
        <v>-2.2288525845320386</v>
      </c>
      <c r="AI91" s="32">
        <v>-0.55308544993534237</v>
      </c>
      <c r="AJ91" s="32">
        <v>-4.6130393833136365</v>
      </c>
      <c r="AK91" s="32">
        <v>-157.02500934064878</v>
      </c>
      <c r="AL91" s="32">
        <v>-164.41998675842979</v>
      </c>
      <c r="AM91" s="32">
        <v>147.00747576868</v>
      </c>
      <c r="AN91" s="32">
        <v>25.315229314651578</v>
      </c>
      <c r="AO91" s="32">
        <v>17.232270508333158</v>
      </c>
      <c r="AP91" s="32">
        <v>0</v>
      </c>
      <c r="AQ91" s="32">
        <v>189.55497559166474</v>
      </c>
      <c r="AR91" s="32">
        <v>-2.2288525845320386</v>
      </c>
      <c r="AS91" s="383">
        <v>9999</v>
      </c>
      <c r="AT91" s="32">
        <v>147.00747576868</v>
      </c>
      <c r="AU91" s="32">
        <v>28.637137233768751</v>
      </c>
      <c r="AV91" s="32">
        <v>17.564461300244876</v>
      </c>
      <c r="AW91" s="32">
        <v>0</v>
      </c>
      <c r="AX91" s="32">
        <v>193.20907430269364</v>
      </c>
      <c r="AY91" s="32">
        <v>-0.55308544993534237</v>
      </c>
      <c r="AZ91" s="383">
        <v>9999</v>
      </c>
      <c r="BA91" s="32">
        <v>147.00747576868</v>
      </c>
      <c r="BB91" s="32">
        <v>53.952366548420329</v>
      </c>
      <c r="BC91" s="32">
        <v>20.095984231710034</v>
      </c>
      <c r="BD91" s="32">
        <v>0</v>
      </c>
      <c r="BE91" s="32">
        <v>221.05582654881039</v>
      </c>
      <c r="BF91" s="32">
        <v>-2.7819380344673812</v>
      </c>
      <c r="BG91" s="32">
        <v>-18.444312714747589</v>
      </c>
      <c r="BH91" s="383">
        <v>9999</v>
      </c>
      <c r="BI91" s="32">
        <v>-0.5350709296874524</v>
      </c>
      <c r="BJ91" s="32">
        <v>-0.13277681437852515</v>
      </c>
      <c r="BK91" s="32">
        <v>-1.107432267456439</v>
      </c>
      <c r="BL91" s="32">
        <v>-37.696309892886994</v>
      </c>
      <c r="BM91" s="32">
        <v>-39.471589904409413</v>
      </c>
      <c r="BN91" s="32">
        <v>147.00747576868</v>
      </c>
      <c r="BO91" s="32">
        <v>0</v>
      </c>
      <c r="BP91" s="32">
        <v>53.952366548420329</v>
      </c>
      <c r="BQ91" s="32">
        <v>0</v>
      </c>
      <c r="BR91" s="32">
        <v>0</v>
      </c>
      <c r="BS91" s="32">
        <v>0</v>
      </c>
      <c r="BT91" s="32">
        <v>0</v>
      </c>
      <c r="BU91" s="32">
        <v>0</v>
      </c>
      <c r="BV91" s="32">
        <v>0</v>
      </c>
      <c r="BW91" s="32">
        <v>20.095984231710034</v>
      </c>
      <c r="BX91" s="32">
        <v>-10.718727828841121</v>
      </c>
      <c r="BY91" s="32">
        <v>-1.7183791901860559</v>
      </c>
      <c r="BZ91" s="32">
        <v>0</v>
      </c>
      <c r="CA91" s="32">
        <v>-151.98287973940262</v>
      </c>
      <c r="CB91" s="32">
        <v>221.05582654881036</v>
      </c>
      <c r="CC91" s="32">
        <v>-164.41998675842979</v>
      </c>
      <c r="CD91" s="383">
        <v>9999</v>
      </c>
      <c r="CE91" s="32">
        <v>-57.248054875091029</v>
      </c>
      <c r="CF91" s="32">
        <v>2.9118280050832959</v>
      </c>
      <c r="CG91" s="32">
        <v>0</v>
      </c>
      <c r="CH91" s="32">
        <v>2.9118280050832959</v>
      </c>
      <c r="CI91" s="32">
        <v>0.14559072641607146</v>
      </c>
      <c r="CJ91" s="32">
        <v>0</v>
      </c>
      <c r="CK91" s="32">
        <v>0.14559072641607146</v>
      </c>
      <c r="CL91" s="32"/>
      <c r="CM91" s="32">
        <v>0</v>
      </c>
      <c r="CN91" s="32"/>
      <c r="CO91" s="32">
        <v>0</v>
      </c>
      <c r="CP91" s="32">
        <v>0</v>
      </c>
      <c r="CQ91" s="32">
        <v>0</v>
      </c>
      <c r="CR91" s="32">
        <v>0</v>
      </c>
      <c r="CS91" s="32">
        <v>0</v>
      </c>
      <c r="CT91" s="32">
        <v>0</v>
      </c>
      <c r="CU91" s="32">
        <v>-4.6130393833136365</v>
      </c>
      <c r="CV91" s="32">
        <v>9999</v>
      </c>
      <c r="CW91" s="383">
        <v>9999</v>
      </c>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row>
    <row r="92" spans="1:131">
      <c r="A92" s="11" t="s">
        <v>530</v>
      </c>
      <c r="B92" s="11"/>
      <c r="C92" s="32">
        <v>16.279069767441861</v>
      </c>
      <c r="D92" s="32">
        <v>270.89999999999998</v>
      </c>
      <c r="E92" s="32">
        <v>0</v>
      </c>
      <c r="F92" s="32">
        <v>-8.5918959509302795</v>
      </c>
      <c r="G92" s="32">
        <v>-56</v>
      </c>
      <c r="H92" s="32">
        <v>0</v>
      </c>
      <c r="I92" s="32"/>
      <c r="J92" s="32"/>
      <c r="K92" s="32"/>
      <c r="L92" s="32">
        <v>306.50679245488732</v>
      </c>
      <c r="M92" s="32">
        <v>7.1643803190103078E-2</v>
      </c>
      <c r="N92" s="32">
        <v>6.7973247808446935E-2</v>
      </c>
      <c r="O92" s="32">
        <v>0</v>
      </c>
      <c r="P92" s="32">
        <v>0</v>
      </c>
      <c r="Q92" s="32">
        <v>0</v>
      </c>
      <c r="R92" s="32">
        <v>-1.713338827476222</v>
      </c>
      <c r="S92" s="32">
        <v>-0.42420701067138822</v>
      </c>
      <c r="T92" s="32">
        <v>-3.5390523894473516</v>
      </c>
      <c r="U92" s="32">
        <v>-5.0421296012461596</v>
      </c>
      <c r="V92" s="32">
        <v>-0.51551375705581681</v>
      </c>
      <c r="W92" s="32">
        <v>-0.12887843926395418</v>
      </c>
      <c r="X92" s="32">
        <v>-1.0739869938662849</v>
      </c>
      <c r="Y92" s="32">
        <v>0</v>
      </c>
      <c r="Z92" s="32">
        <v>0</v>
      </c>
      <c r="AA92" s="32">
        <v>0</v>
      </c>
      <c r="AB92" s="32">
        <v>0</v>
      </c>
      <c r="AC92" s="32">
        <v>-761.05827531819057</v>
      </c>
      <c r="AD92" s="32">
        <v>0</v>
      </c>
      <c r="AE92" s="32">
        <v>0</v>
      </c>
      <c r="AF92" s="32">
        <v>0</v>
      </c>
      <c r="AG92" s="32">
        <v>0</v>
      </c>
      <c r="AH92" s="32">
        <v>-2.2288525845320386</v>
      </c>
      <c r="AI92" s="32">
        <v>-0.55308544993534237</v>
      </c>
      <c r="AJ92" s="32">
        <v>-4.6130393833136365</v>
      </c>
      <c r="AK92" s="32">
        <v>-766.10040491943676</v>
      </c>
      <c r="AL92" s="32">
        <v>-773.49538233721773</v>
      </c>
      <c r="AM92" s="32">
        <v>147.00747576868</v>
      </c>
      <c r="AN92" s="32">
        <v>25.315229314651578</v>
      </c>
      <c r="AO92" s="32">
        <v>17.232270508333158</v>
      </c>
      <c r="AP92" s="32">
        <v>0</v>
      </c>
      <c r="AQ92" s="32">
        <v>189.55497559166474</v>
      </c>
      <c r="AR92" s="32">
        <v>-2.2288525845320386</v>
      </c>
      <c r="AS92" s="383">
        <v>9999</v>
      </c>
      <c r="AT92" s="32">
        <v>147.00747576868</v>
      </c>
      <c r="AU92" s="32">
        <v>28.637137233768751</v>
      </c>
      <c r="AV92" s="32">
        <v>17.564461300244876</v>
      </c>
      <c r="AW92" s="32">
        <v>0</v>
      </c>
      <c r="AX92" s="32">
        <v>193.20907430269364</v>
      </c>
      <c r="AY92" s="32">
        <v>-0.55308544993534237</v>
      </c>
      <c r="AZ92" s="383">
        <v>9999</v>
      </c>
      <c r="BA92" s="32">
        <v>147.00747576868</v>
      </c>
      <c r="BB92" s="32">
        <v>53.952366548420329</v>
      </c>
      <c r="BC92" s="32">
        <v>20.095984231710034</v>
      </c>
      <c r="BD92" s="32">
        <v>0</v>
      </c>
      <c r="BE92" s="32">
        <v>221.05582654881039</v>
      </c>
      <c r="BF92" s="32">
        <v>-2.7819380344673812</v>
      </c>
      <c r="BG92" s="32">
        <v>-18.444312714747589</v>
      </c>
      <c r="BH92" s="383">
        <v>9999</v>
      </c>
      <c r="BI92" s="32">
        <v>-0.5350709296874524</v>
      </c>
      <c r="BJ92" s="32">
        <v>-0.13277681437852515</v>
      </c>
      <c r="BK92" s="32">
        <v>-1.107432267456439</v>
      </c>
      <c r="BL92" s="32">
        <v>-183.91438659467988</v>
      </c>
      <c r="BM92" s="32">
        <v>-185.68966660620228</v>
      </c>
      <c r="BN92" s="32">
        <v>147.00747576868</v>
      </c>
      <c r="BO92" s="32">
        <v>0</v>
      </c>
      <c r="BP92" s="32">
        <v>53.952366548420329</v>
      </c>
      <c r="BQ92" s="32">
        <v>0</v>
      </c>
      <c r="BR92" s="32">
        <v>0</v>
      </c>
      <c r="BS92" s="32">
        <v>0</v>
      </c>
      <c r="BT92" s="32">
        <v>0</v>
      </c>
      <c r="BU92" s="32">
        <v>0</v>
      </c>
      <c r="BV92" s="32">
        <v>0</v>
      </c>
      <c r="BW92" s="32">
        <v>20.095984231710034</v>
      </c>
      <c r="BX92" s="32">
        <v>-10.718727828841121</v>
      </c>
      <c r="BY92" s="32">
        <v>-1.7183791901860559</v>
      </c>
      <c r="BZ92" s="32">
        <v>-761.05827531819057</v>
      </c>
      <c r="CA92" s="32">
        <v>0</v>
      </c>
      <c r="CB92" s="32">
        <v>221.05582654881036</v>
      </c>
      <c r="CC92" s="32">
        <v>-773.49538233721773</v>
      </c>
      <c r="CD92" s="383">
        <v>9999</v>
      </c>
      <c r="CE92" s="32">
        <v>-203.4661315768839</v>
      </c>
      <c r="CF92" s="32">
        <v>2.9118280050832959</v>
      </c>
      <c r="CG92" s="32">
        <v>0</v>
      </c>
      <c r="CH92" s="32">
        <v>2.9118280050832959</v>
      </c>
      <c r="CI92" s="32">
        <v>0.14559072641607146</v>
      </c>
      <c r="CJ92" s="32">
        <v>0</v>
      </c>
      <c r="CK92" s="32">
        <v>0.14559072641607146</v>
      </c>
      <c r="CL92" s="32"/>
      <c r="CM92" s="32">
        <v>0</v>
      </c>
      <c r="CN92" s="32"/>
      <c r="CO92" s="32">
        <v>0</v>
      </c>
      <c r="CP92" s="32">
        <v>0</v>
      </c>
      <c r="CQ92" s="32">
        <v>0</v>
      </c>
      <c r="CR92" s="32">
        <v>0</v>
      </c>
      <c r="CS92" s="32">
        <v>0</v>
      </c>
      <c r="CT92" s="32">
        <v>0</v>
      </c>
      <c r="CU92" s="32">
        <v>-4.6130393833136365</v>
      </c>
      <c r="CV92" s="32">
        <v>9999</v>
      </c>
      <c r="CW92" s="383">
        <v>9999</v>
      </c>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row>
    <row r="93" spans="1:131">
      <c r="A93" s="11" t="s">
        <v>843</v>
      </c>
      <c r="B93" s="11"/>
      <c r="C93" s="32">
        <v>16.279069767441861</v>
      </c>
      <c r="D93" s="32">
        <v>666.5</v>
      </c>
      <c r="E93" s="32">
        <v>0</v>
      </c>
      <c r="F93" s="32">
        <v>2.0115772129567233</v>
      </c>
      <c r="G93" s="32">
        <v>-56</v>
      </c>
      <c r="H93" s="32">
        <v>0</v>
      </c>
      <c r="I93" s="32"/>
      <c r="J93" s="32"/>
      <c r="K93" s="32"/>
      <c r="L93" s="32">
        <v>754.1040131826594</v>
      </c>
      <c r="M93" s="32">
        <v>0.1762664999121584</v>
      </c>
      <c r="N93" s="32">
        <v>0.16723576841760757</v>
      </c>
      <c r="O93" s="32">
        <v>0</v>
      </c>
      <c r="P93" s="32">
        <v>0</v>
      </c>
      <c r="Q93" s="32">
        <v>0</v>
      </c>
      <c r="R93" s="32">
        <v>0.40113536792213955</v>
      </c>
      <c r="S93" s="32">
        <v>9.9317445313180402E-2</v>
      </c>
      <c r="T93" s="32">
        <v>0.82858046497892279</v>
      </c>
      <c r="U93" s="32">
        <v>1.1804883425692743</v>
      </c>
      <c r="V93" s="32">
        <v>0.1206946327774034</v>
      </c>
      <c r="W93" s="32">
        <v>3.0173658194350843E-2</v>
      </c>
      <c r="X93" s="32">
        <v>0.25144715161959041</v>
      </c>
      <c r="Y93" s="32">
        <v>0</v>
      </c>
      <c r="Z93" s="32">
        <v>0</v>
      </c>
      <c r="AA93" s="32">
        <v>0</v>
      </c>
      <c r="AB93" s="32">
        <v>0</v>
      </c>
      <c r="AC93" s="32">
        <v>-761.05827531819057</v>
      </c>
      <c r="AD93" s="32">
        <v>0</v>
      </c>
      <c r="AE93" s="32">
        <v>0</v>
      </c>
      <c r="AF93" s="32">
        <v>0</v>
      </c>
      <c r="AG93" s="32">
        <v>0</v>
      </c>
      <c r="AH93" s="32">
        <v>0.521830000699543</v>
      </c>
      <c r="AI93" s="32">
        <v>0.12949110350753124</v>
      </c>
      <c r="AJ93" s="32">
        <v>1.0800276165985132</v>
      </c>
      <c r="AK93" s="32">
        <v>-759.87778697562135</v>
      </c>
      <c r="AL93" s="32">
        <v>-758.14643825481573</v>
      </c>
      <c r="AM93" s="32">
        <v>361.68505943087922</v>
      </c>
      <c r="AN93" s="32">
        <v>62.283500694777707</v>
      </c>
      <c r="AO93" s="32">
        <v>42.396856012565692</v>
      </c>
      <c r="AP93" s="32">
        <v>0</v>
      </c>
      <c r="AQ93" s="32">
        <v>466.36541613822266</v>
      </c>
      <c r="AR93" s="32">
        <v>0.521830000699543</v>
      </c>
      <c r="AS93" s="383">
        <v>893.71139166593161</v>
      </c>
      <c r="AT93" s="32">
        <v>361.68505943087922</v>
      </c>
      <c r="AU93" s="32">
        <v>70.456448749748532</v>
      </c>
      <c r="AV93" s="32">
        <v>43.214150818062777</v>
      </c>
      <c r="AW93" s="32">
        <v>0</v>
      </c>
      <c r="AX93" s="32">
        <v>475.3556589986905</v>
      </c>
      <c r="AY93" s="32">
        <v>0.12949110350753124</v>
      </c>
      <c r="AZ93" s="383">
        <v>3670.9522594426239</v>
      </c>
      <c r="BA93" s="32">
        <v>361.68505943087922</v>
      </c>
      <c r="BB93" s="32">
        <v>132.73994944452625</v>
      </c>
      <c r="BC93" s="32">
        <v>49.442500887540547</v>
      </c>
      <c r="BD93" s="32">
        <v>0</v>
      </c>
      <c r="BE93" s="32">
        <v>543.86750976294604</v>
      </c>
      <c r="BF93" s="32">
        <v>0.65132110420707423</v>
      </c>
      <c r="BG93" s="32">
        <v>-17.712912269680494</v>
      </c>
      <c r="BH93" s="383">
        <v>835.02209010263311</v>
      </c>
      <c r="BI93" s="32">
        <v>5.0917597777272942E-2</v>
      </c>
      <c r="BJ93" s="32">
        <v>1.2635103223833233E-2</v>
      </c>
      <c r="BK93" s="32">
        <v>0.10538376807885591</v>
      </c>
      <c r="BL93" s="32">
        <v>-74.145126698812405</v>
      </c>
      <c r="BM93" s="32">
        <v>-73.976190229732438</v>
      </c>
      <c r="BN93" s="32">
        <v>361.68505943087922</v>
      </c>
      <c r="BO93" s="32">
        <v>0</v>
      </c>
      <c r="BP93" s="32">
        <v>132.73994944452625</v>
      </c>
      <c r="BQ93" s="32">
        <v>0</v>
      </c>
      <c r="BR93" s="32">
        <v>0</v>
      </c>
      <c r="BS93" s="32">
        <v>0</v>
      </c>
      <c r="BT93" s="32">
        <v>0</v>
      </c>
      <c r="BU93" s="32">
        <v>0</v>
      </c>
      <c r="BV93" s="32">
        <v>0</v>
      </c>
      <c r="BW93" s="32">
        <v>49.442500887540547</v>
      </c>
      <c r="BX93" s="32">
        <v>2.5095216207835169</v>
      </c>
      <c r="BY93" s="32">
        <v>0.40231544259134466</v>
      </c>
      <c r="BZ93" s="32">
        <v>-761.05827531819057</v>
      </c>
      <c r="CA93" s="32">
        <v>0</v>
      </c>
      <c r="CB93" s="32">
        <v>543.86750976294604</v>
      </c>
      <c r="CC93" s="32">
        <v>-758.14643825481573</v>
      </c>
      <c r="CD93" s="383">
        <v>448.14519380033875</v>
      </c>
      <c r="CE93" s="32">
        <v>-91.752655200414054</v>
      </c>
      <c r="CF93" s="32">
        <v>7.1640212823477789</v>
      </c>
      <c r="CG93" s="32">
        <v>0</v>
      </c>
      <c r="CH93" s="32">
        <v>7.1640212823477789</v>
      </c>
      <c r="CI93" s="32">
        <v>0.35819940626176316</v>
      </c>
      <c r="CJ93" s="32">
        <v>0</v>
      </c>
      <c r="CK93" s="32">
        <v>0.35819940626176316</v>
      </c>
      <c r="CL93" s="32"/>
      <c r="CM93" s="32">
        <v>0</v>
      </c>
      <c r="CN93" s="32"/>
      <c r="CO93" s="32">
        <v>0</v>
      </c>
      <c r="CP93" s="32">
        <v>0</v>
      </c>
      <c r="CQ93" s="32">
        <v>0</v>
      </c>
      <c r="CR93" s="32">
        <v>0</v>
      </c>
      <c r="CS93" s="32">
        <v>0</v>
      </c>
      <c r="CT93" s="32">
        <v>0</v>
      </c>
      <c r="CU93" s="32">
        <v>1.0800276165985132</v>
      </c>
      <c r="CV93" s="32">
        <v>9999</v>
      </c>
      <c r="CW93" s="384">
        <v>0</v>
      </c>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row>
    <row r="94" spans="1:131">
      <c r="A94" s="11" t="s">
        <v>841</v>
      </c>
      <c r="B94" s="11"/>
      <c r="C94" s="32">
        <v>16.279069767441861</v>
      </c>
      <c r="D94" s="32">
        <v>408.5</v>
      </c>
      <c r="E94" s="32">
        <v>0</v>
      </c>
      <c r="F94" s="32">
        <v>2.0115772129567233</v>
      </c>
      <c r="G94" s="32">
        <v>-56</v>
      </c>
      <c r="H94" s="32">
        <v>0</v>
      </c>
      <c r="I94" s="32"/>
      <c r="J94" s="32"/>
      <c r="K94" s="32"/>
      <c r="L94" s="32">
        <v>462.19278227324287</v>
      </c>
      <c r="M94" s="32">
        <v>0.10803430639777449</v>
      </c>
      <c r="N94" s="32">
        <v>0.10249934193337237</v>
      </c>
      <c r="O94" s="32">
        <v>0</v>
      </c>
      <c r="P94" s="32">
        <v>0</v>
      </c>
      <c r="Q94" s="32">
        <v>0</v>
      </c>
      <c r="R94" s="32">
        <v>0.40113536792213955</v>
      </c>
      <c r="S94" s="32">
        <v>9.9317445313180402E-2</v>
      </c>
      <c r="T94" s="32">
        <v>0.82858046497892279</v>
      </c>
      <c r="U94" s="32">
        <v>1.1804883425692743</v>
      </c>
      <c r="V94" s="32">
        <v>0.1206946327774034</v>
      </c>
      <c r="W94" s="32">
        <v>3.0173658194350843E-2</v>
      </c>
      <c r="X94" s="32">
        <v>0.25144715161959041</v>
      </c>
      <c r="Y94" s="32">
        <v>0</v>
      </c>
      <c r="Z94" s="32">
        <v>0</v>
      </c>
      <c r="AA94" s="32">
        <v>0</v>
      </c>
      <c r="AB94" s="32">
        <v>0</v>
      </c>
      <c r="AC94" s="32">
        <v>-761.05827531819057</v>
      </c>
      <c r="AD94" s="32">
        <v>0</v>
      </c>
      <c r="AE94" s="32">
        <v>0</v>
      </c>
      <c r="AF94" s="32">
        <v>0</v>
      </c>
      <c r="AG94" s="32">
        <v>0</v>
      </c>
      <c r="AH94" s="32">
        <v>0.521830000699543</v>
      </c>
      <c r="AI94" s="32">
        <v>0.12949110350753124</v>
      </c>
      <c r="AJ94" s="32">
        <v>1.0800276165985132</v>
      </c>
      <c r="AK94" s="32">
        <v>-759.87778697562135</v>
      </c>
      <c r="AL94" s="32">
        <v>-758.14643825481573</v>
      </c>
      <c r="AM94" s="32">
        <v>221.67793965118409</v>
      </c>
      <c r="AN94" s="32">
        <v>38.173758490347623</v>
      </c>
      <c r="AO94" s="32">
        <v>25.985169814153174</v>
      </c>
      <c r="AP94" s="32">
        <v>0</v>
      </c>
      <c r="AQ94" s="32">
        <v>285.83686795568485</v>
      </c>
      <c r="AR94" s="32">
        <v>0.521830000699543</v>
      </c>
      <c r="AS94" s="383">
        <v>547.75859489202264</v>
      </c>
      <c r="AT94" s="32">
        <v>221.67793965118409</v>
      </c>
      <c r="AU94" s="32">
        <v>43.182984717587814</v>
      </c>
      <c r="AV94" s="32">
        <v>26.486092436877193</v>
      </c>
      <c r="AW94" s="32">
        <v>0</v>
      </c>
      <c r="AX94" s="32">
        <v>291.3470168056491</v>
      </c>
      <c r="AY94" s="32">
        <v>0.12949110350753124</v>
      </c>
      <c r="AZ94" s="383">
        <v>2249.938481593867</v>
      </c>
      <c r="BA94" s="32">
        <v>221.67793965118409</v>
      </c>
      <c r="BB94" s="32">
        <v>81.356743207935438</v>
      </c>
      <c r="BC94" s="32">
        <v>30.303468285911954</v>
      </c>
      <c r="BD94" s="32">
        <v>0</v>
      </c>
      <c r="BE94" s="32">
        <v>333.33815114503147</v>
      </c>
      <c r="BF94" s="32">
        <v>0.65132110420707423</v>
      </c>
      <c r="BG94" s="32">
        <v>-17.6727737216798</v>
      </c>
      <c r="BH94" s="383">
        <v>511.78773264354936</v>
      </c>
      <c r="BI94" s="32">
        <v>8.3076080583971645E-2</v>
      </c>
      <c r="BJ94" s="32">
        <v>2.0615168417833171E-2</v>
      </c>
      <c r="BK94" s="32">
        <v>0.17194193739181754</v>
      </c>
      <c r="BL94" s="32">
        <v>-120.97362777174656</v>
      </c>
      <c r="BM94" s="32">
        <v>-120.69799458535293</v>
      </c>
      <c r="BN94" s="32">
        <v>221.67793965118409</v>
      </c>
      <c r="BO94" s="32">
        <v>0</v>
      </c>
      <c r="BP94" s="32">
        <v>81.356743207935438</v>
      </c>
      <c r="BQ94" s="32">
        <v>0</v>
      </c>
      <c r="BR94" s="32">
        <v>0</v>
      </c>
      <c r="BS94" s="32">
        <v>0</v>
      </c>
      <c r="BT94" s="32">
        <v>0</v>
      </c>
      <c r="BU94" s="32">
        <v>0</v>
      </c>
      <c r="BV94" s="32">
        <v>0</v>
      </c>
      <c r="BW94" s="32">
        <v>30.303468285911954</v>
      </c>
      <c r="BX94" s="32">
        <v>2.5095216207835169</v>
      </c>
      <c r="BY94" s="32">
        <v>0.40231544259134466</v>
      </c>
      <c r="BZ94" s="32">
        <v>-761.05827531819057</v>
      </c>
      <c r="CA94" s="32">
        <v>0</v>
      </c>
      <c r="CB94" s="32">
        <v>333.33815114503147</v>
      </c>
      <c r="CC94" s="32">
        <v>-758.14643825481573</v>
      </c>
      <c r="CD94" s="383">
        <v>375.84397843840912</v>
      </c>
      <c r="CE94" s="32">
        <v>-138.47445955603453</v>
      </c>
      <c r="CF94" s="32">
        <v>4.3908517536970244</v>
      </c>
      <c r="CG94" s="32">
        <v>0</v>
      </c>
      <c r="CH94" s="32">
        <v>4.3908517536970244</v>
      </c>
      <c r="CI94" s="32">
        <v>0.21954157157979032</v>
      </c>
      <c r="CJ94" s="32">
        <v>0</v>
      </c>
      <c r="CK94" s="32">
        <v>0.21954157157979032</v>
      </c>
      <c r="CL94" s="32"/>
      <c r="CM94" s="32">
        <v>0</v>
      </c>
      <c r="CN94" s="32"/>
      <c r="CO94" s="32">
        <v>0</v>
      </c>
      <c r="CP94" s="32">
        <v>0</v>
      </c>
      <c r="CQ94" s="32">
        <v>0</v>
      </c>
      <c r="CR94" s="32">
        <v>0</v>
      </c>
      <c r="CS94" s="32">
        <v>0</v>
      </c>
      <c r="CT94" s="32">
        <v>0</v>
      </c>
      <c r="CU94" s="32">
        <v>1.0800276165985132</v>
      </c>
      <c r="CV94" s="32">
        <v>9999</v>
      </c>
      <c r="CW94" s="384">
        <v>0</v>
      </c>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row>
    <row r="95" spans="1:131">
      <c r="A95" s="11" t="s">
        <v>842</v>
      </c>
      <c r="B95" s="11"/>
      <c r="C95" s="32">
        <v>16.279069767441861</v>
      </c>
      <c r="D95" s="32">
        <v>666.5</v>
      </c>
      <c r="E95" s="32">
        <v>0</v>
      </c>
      <c r="F95" s="32">
        <v>2.0115772129567233</v>
      </c>
      <c r="G95" s="32">
        <v>0</v>
      </c>
      <c r="H95" s="32">
        <v>-157.90429063834037</v>
      </c>
      <c r="I95" s="32"/>
      <c r="J95" s="32"/>
      <c r="K95" s="32"/>
      <c r="L95" s="32">
        <v>754.1040131826594</v>
      </c>
      <c r="M95" s="32">
        <v>0.1762664999121584</v>
      </c>
      <c r="N95" s="32">
        <v>0.16723576841760757</v>
      </c>
      <c r="O95" s="32">
        <v>0</v>
      </c>
      <c r="P95" s="32">
        <v>0</v>
      </c>
      <c r="Q95" s="32">
        <v>0</v>
      </c>
      <c r="R95" s="32">
        <v>0.40113536792213955</v>
      </c>
      <c r="S95" s="32">
        <v>9.9317445313180402E-2</v>
      </c>
      <c r="T95" s="32">
        <v>0.82858046497892279</v>
      </c>
      <c r="U95" s="32">
        <v>1.1804883425692743</v>
      </c>
      <c r="V95" s="32">
        <v>0.1206946327774034</v>
      </c>
      <c r="W95" s="32">
        <v>3.0173658194350843E-2</v>
      </c>
      <c r="X95" s="32">
        <v>0.25144715161959041</v>
      </c>
      <c r="Y95" s="32">
        <v>0</v>
      </c>
      <c r="Z95" s="32">
        <v>0</v>
      </c>
      <c r="AA95" s="32">
        <v>0</v>
      </c>
      <c r="AB95" s="32">
        <v>0</v>
      </c>
      <c r="AC95" s="32">
        <v>0</v>
      </c>
      <c r="AD95" s="32">
        <v>0</v>
      </c>
      <c r="AE95" s="32">
        <v>0</v>
      </c>
      <c r="AF95" s="32">
        <v>0</v>
      </c>
      <c r="AG95" s="32">
        <v>-157.90429063834037</v>
      </c>
      <c r="AH95" s="32">
        <v>0.521830000699543</v>
      </c>
      <c r="AI95" s="32">
        <v>0.12949110350753124</v>
      </c>
      <c r="AJ95" s="32">
        <v>1.0800276165985132</v>
      </c>
      <c r="AK95" s="32">
        <v>-156.72380229577109</v>
      </c>
      <c r="AL95" s="32">
        <v>-154.99245357496551</v>
      </c>
      <c r="AM95" s="32">
        <v>361.68505943087922</v>
      </c>
      <c r="AN95" s="32">
        <v>62.283500694777707</v>
      </c>
      <c r="AO95" s="32">
        <v>42.396856012565692</v>
      </c>
      <c r="AP95" s="32">
        <v>0</v>
      </c>
      <c r="AQ95" s="32">
        <v>466.36541613822266</v>
      </c>
      <c r="AR95" s="32">
        <v>0.521830000699543</v>
      </c>
      <c r="AS95" s="383">
        <v>893.71139166593161</v>
      </c>
      <c r="AT95" s="32">
        <v>361.68505943087922</v>
      </c>
      <c r="AU95" s="32">
        <v>70.456448749748532</v>
      </c>
      <c r="AV95" s="32">
        <v>43.214150818062777</v>
      </c>
      <c r="AW95" s="32">
        <v>0</v>
      </c>
      <c r="AX95" s="32">
        <v>475.3556589986905</v>
      </c>
      <c r="AY95" s="32">
        <v>0.12949110350753124</v>
      </c>
      <c r="AZ95" s="383">
        <v>3670.9522594426239</v>
      </c>
      <c r="BA95" s="32">
        <v>361.68505943087922</v>
      </c>
      <c r="BB95" s="32">
        <v>132.73994944452625</v>
      </c>
      <c r="BC95" s="32">
        <v>49.442500887540547</v>
      </c>
      <c r="BD95" s="32">
        <v>0</v>
      </c>
      <c r="BE95" s="32">
        <v>543.86750976294604</v>
      </c>
      <c r="BF95" s="32">
        <v>0.65132110420707423</v>
      </c>
      <c r="BG95" s="32">
        <v>-17.712912269680494</v>
      </c>
      <c r="BH95" s="383">
        <v>835.02209010263311</v>
      </c>
      <c r="BI95" s="32">
        <v>5.0917597777272942E-2</v>
      </c>
      <c r="BJ95" s="32">
        <v>1.2635103223833233E-2</v>
      </c>
      <c r="BK95" s="32">
        <v>0.10538376807885591</v>
      </c>
      <c r="BL95" s="32">
        <v>-15.292335658592402</v>
      </c>
      <c r="BM95" s="32">
        <v>-15.123399189512437</v>
      </c>
      <c r="BN95" s="32">
        <v>361.68505943087922</v>
      </c>
      <c r="BO95" s="32">
        <v>0</v>
      </c>
      <c r="BP95" s="32">
        <v>132.73994944452625</v>
      </c>
      <c r="BQ95" s="32">
        <v>0</v>
      </c>
      <c r="BR95" s="32">
        <v>0</v>
      </c>
      <c r="BS95" s="32">
        <v>0</v>
      </c>
      <c r="BT95" s="32">
        <v>0</v>
      </c>
      <c r="BU95" s="32">
        <v>0</v>
      </c>
      <c r="BV95" s="32">
        <v>0</v>
      </c>
      <c r="BW95" s="32">
        <v>49.442500887540547</v>
      </c>
      <c r="BX95" s="32">
        <v>2.5095216207835169</v>
      </c>
      <c r="BY95" s="32">
        <v>0.40231544259134466</v>
      </c>
      <c r="BZ95" s="32">
        <v>0</v>
      </c>
      <c r="CA95" s="32">
        <v>-157.90429063834037</v>
      </c>
      <c r="CB95" s="32">
        <v>543.86750976294604</v>
      </c>
      <c r="CC95" s="32">
        <v>-154.99245357496551</v>
      </c>
      <c r="CD95" s="383">
        <v>241.00654848727098</v>
      </c>
      <c r="CE95" s="32">
        <v>-32.899864160194042</v>
      </c>
      <c r="CF95" s="32">
        <v>7.1640212823477789</v>
      </c>
      <c r="CG95" s="32">
        <v>0</v>
      </c>
      <c r="CH95" s="32">
        <v>7.1640212823477789</v>
      </c>
      <c r="CI95" s="32">
        <v>0.35819940626176316</v>
      </c>
      <c r="CJ95" s="32">
        <v>0</v>
      </c>
      <c r="CK95" s="32">
        <v>0.35819940626176316</v>
      </c>
      <c r="CL95" s="32"/>
      <c r="CM95" s="32">
        <v>0</v>
      </c>
      <c r="CN95" s="32"/>
      <c r="CO95" s="32">
        <v>0</v>
      </c>
      <c r="CP95" s="32">
        <v>0</v>
      </c>
      <c r="CQ95" s="32">
        <v>0</v>
      </c>
      <c r="CR95" s="32">
        <v>0</v>
      </c>
      <c r="CS95" s="32">
        <v>0</v>
      </c>
      <c r="CT95" s="32">
        <v>0</v>
      </c>
      <c r="CU95" s="32">
        <v>1.0800276165985132</v>
      </c>
      <c r="CV95" s="32">
        <v>9999</v>
      </c>
      <c r="CW95" s="384">
        <v>0</v>
      </c>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row>
    <row r="96" spans="1:131">
      <c r="A96" s="11" t="s">
        <v>840</v>
      </c>
      <c r="B96" s="11"/>
      <c r="C96" s="32">
        <v>16.279069767441861</v>
      </c>
      <c r="D96" s="32">
        <v>408.5</v>
      </c>
      <c r="E96" s="32">
        <v>0</v>
      </c>
      <c r="F96" s="32">
        <v>2.0115772129567233</v>
      </c>
      <c r="G96" s="32">
        <v>0</v>
      </c>
      <c r="H96" s="32">
        <v>-157.90429063834037</v>
      </c>
      <c r="I96" s="32"/>
      <c r="J96" s="32"/>
      <c r="K96" s="32"/>
      <c r="L96" s="32">
        <v>462.19278227324287</v>
      </c>
      <c r="M96" s="32">
        <v>0.10803430639777449</v>
      </c>
      <c r="N96" s="32">
        <v>0.10249934193337237</v>
      </c>
      <c r="O96" s="32">
        <v>0</v>
      </c>
      <c r="P96" s="32">
        <v>0</v>
      </c>
      <c r="Q96" s="32">
        <v>0</v>
      </c>
      <c r="R96" s="32">
        <v>0.40113536792213955</v>
      </c>
      <c r="S96" s="32">
        <v>9.9317445313180402E-2</v>
      </c>
      <c r="T96" s="32">
        <v>0.82858046497892279</v>
      </c>
      <c r="U96" s="32">
        <v>1.1804883425692743</v>
      </c>
      <c r="V96" s="32">
        <v>0.1206946327774034</v>
      </c>
      <c r="W96" s="32">
        <v>3.0173658194350843E-2</v>
      </c>
      <c r="X96" s="32">
        <v>0.25144715161959041</v>
      </c>
      <c r="Y96" s="32">
        <v>0</v>
      </c>
      <c r="Z96" s="32">
        <v>0</v>
      </c>
      <c r="AA96" s="32">
        <v>0</v>
      </c>
      <c r="AB96" s="32">
        <v>0</v>
      </c>
      <c r="AC96" s="32">
        <v>0</v>
      </c>
      <c r="AD96" s="32">
        <v>0</v>
      </c>
      <c r="AE96" s="32">
        <v>0</v>
      </c>
      <c r="AF96" s="32">
        <v>0</v>
      </c>
      <c r="AG96" s="32">
        <v>-157.90429063834037</v>
      </c>
      <c r="AH96" s="32">
        <v>0.521830000699543</v>
      </c>
      <c r="AI96" s="32">
        <v>0.12949110350753124</v>
      </c>
      <c r="AJ96" s="32">
        <v>1.0800276165985132</v>
      </c>
      <c r="AK96" s="32">
        <v>-156.72380229577109</v>
      </c>
      <c r="AL96" s="32">
        <v>-154.99245357496551</v>
      </c>
      <c r="AM96" s="32">
        <v>221.67793965118409</v>
      </c>
      <c r="AN96" s="32">
        <v>38.173758490347623</v>
      </c>
      <c r="AO96" s="32">
        <v>25.985169814153174</v>
      </c>
      <c r="AP96" s="32">
        <v>0</v>
      </c>
      <c r="AQ96" s="32">
        <v>285.83686795568485</v>
      </c>
      <c r="AR96" s="32">
        <v>0.521830000699543</v>
      </c>
      <c r="AS96" s="383">
        <v>547.75859489202264</v>
      </c>
      <c r="AT96" s="32">
        <v>221.67793965118409</v>
      </c>
      <c r="AU96" s="32">
        <v>43.182984717587814</v>
      </c>
      <c r="AV96" s="32">
        <v>26.486092436877193</v>
      </c>
      <c r="AW96" s="32">
        <v>0</v>
      </c>
      <c r="AX96" s="32">
        <v>291.3470168056491</v>
      </c>
      <c r="AY96" s="32">
        <v>0.12949110350753124</v>
      </c>
      <c r="AZ96" s="383">
        <v>2249.938481593867</v>
      </c>
      <c r="BA96" s="32">
        <v>221.67793965118409</v>
      </c>
      <c r="BB96" s="32">
        <v>81.356743207935438</v>
      </c>
      <c r="BC96" s="32">
        <v>30.303468285911954</v>
      </c>
      <c r="BD96" s="32">
        <v>0</v>
      </c>
      <c r="BE96" s="32">
        <v>333.33815114503147</v>
      </c>
      <c r="BF96" s="32">
        <v>0.65132110420707423</v>
      </c>
      <c r="BG96" s="32">
        <v>-17.6727737216798</v>
      </c>
      <c r="BH96" s="383">
        <v>511.78773264354936</v>
      </c>
      <c r="BI96" s="32">
        <v>8.3076080583971645E-2</v>
      </c>
      <c r="BJ96" s="32">
        <v>2.0615168417833171E-2</v>
      </c>
      <c r="BK96" s="32">
        <v>0.17194193739181754</v>
      </c>
      <c r="BL96" s="32">
        <v>-24.95065291665076</v>
      </c>
      <c r="BM96" s="32">
        <v>-24.675019730257137</v>
      </c>
      <c r="BN96" s="32">
        <v>221.67793965118409</v>
      </c>
      <c r="BO96" s="32">
        <v>0</v>
      </c>
      <c r="BP96" s="32">
        <v>81.356743207935438</v>
      </c>
      <c r="BQ96" s="32">
        <v>0</v>
      </c>
      <c r="BR96" s="32">
        <v>0</v>
      </c>
      <c r="BS96" s="32">
        <v>0</v>
      </c>
      <c r="BT96" s="32">
        <v>0</v>
      </c>
      <c r="BU96" s="32">
        <v>0</v>
      </c>
      <c r="BV96" s="32">
        <v>0</v>
      </c>
      <c r="BW96" s="32">
        <v>30.303468285911954</v>
      </c>
      <c r="BX96" s="32">
        <v>2.5095216207835169</v>
      </c>
      <c r="BY96" s="32">
        <v>0.40231544259134466</v>
      </c>
      <c r="BZ96" s="32">
        <v>0</v>
      </c>
      <c r="CA96" s="32">
        <v>-157.90429063834037</v>
      </c>
      <c r="CB96" s="32">
        <v>333.33815114503147</v>
      </c>
      <c r="CC96" s="32">
        <v>-154.99245357496551</v>
      </c>
      <c r="CD96" s="383">
        <v>168.70533312534138</v>
      </c>
      <c r="CE96" s="32">
        <v>-42.451484700938742</v>
      </c>
      <c r="CF96" s="32">
        <v>4.3908517536970244</v>
      </c>
      <c r="CG96" s="32">
        <v>0</v>
      </c>
      <c r="CH96" s="32">
        <v>4.3908517536970244</v>
      </c>
      <c r="CI96" s="32">
        <v>0.21954157157979032</v>
      </c>
      <c r="CJ96" s="32">
        <v>0</v>
      </c>
      <c r="CK96" s="32">
        <v>0.21954157157979032</v>
      </c>
      <c r="CL96" s="32"/>
      <c r="CM96" s="32">
        <v>0</v>
      </c>
      <c r="CN96" s="32"/>
      <c r="CO96" s="32">
        <v>0</v>
      </c>
      <c r="CP96" s="32">
        <v>0</v>
      </c>
      <c r="CQ96" s="32">
        <v>0</v>
      </c>
      <c r="CR96" s="32">
        <v>0</v>
      </c>
      <c r="CS96" s="32">
        <v>0</v>
      </c>
      <c r="CT96" s="32">
        <v>0</v>
      </c>
      <c r="CU96" s="32">
        <v>1.0800276165985132</v>
      </c>
      <c r="CV96" s="32">
        <v>9999</v>
      </c>
      <c r="CW96" s="384">
        <v>0</v>
      </c>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row>
    <row r="97" spans="1:131">
      <c r="A97" s="11" t="s">
        <v>956</v>
      </c>
      <c r="B97" s="11"/>
      <c r="C97" s="32">
        <v>16.279069767441861</v>
      </c>
      <c r="D97" s="32">
        <v>1195.4000000000001</v>
      </c>
      <c r="E97" s="32">
        <v>0</v>
      </c>
      <c r="F97" s="32">
        <v>134.02315442591345</v>
      </c>
      <c r="G97" s="32">
        <v>-56</v>
      </c>
      <c r="H97" s="32">
        <v>0</v>
      </c>
      <c r="I97" s="32"/>
      <c r="J97" s="32"/>
      <c r="K97" s="32"/>
      <c r="L97" s="32">
        <v>1352.5220365469634</v>
      </c>
      <c r="M97" s="32">
        <v>0.3161424966166454</v>
      </c>
      <c r="N97" s="32">
        <v>0.29994544271028972</v>
      </c>
      <c r="O97" s="32">
        <v>0</v>
      </c>
      <c r="P97" s="32">
        <v>0</v>
      </c>
      <c r="Q97" s="32">
        <v>0</v>
      </c>
      <c r="R97" s="32">
        <v>26.726007341126671</v>
      </c>
      <c r="S97" s="32">
        <v>6.617114781704359</v>
      </c>
      <c r="T97" s="32">
        <v>55.204924224081694</v>
      </c>
      <c r="U97" s="32">
        <v>78.651105418719141</v>
      </c>
      <c r="V97" s="32">
        <v>8.0413892655548072</v>
      </c>
      <c r="W97" s="32">
        <v>2.0103473163887013</v>
      </c>
      <c r="X97" s="32">
        <v>16.752894303239181</v>
      </c>
      <c r="Y97" s="32">
        <v>0</v>
      </c>
      <c r="Z97" s="32">
        <v>0</v>
      </c>
      <c r="AA97" s="32">
        <v>0</v>
      </c>
      <c r="AB97" s="32">
        <v>0</v>
      </c>
      <c r="AC97" s="32">
        <v>-761.05827531819057</v>
      </c>
      <c r="AD97" s="32">
        <v>0</v>
      </c>
      <c r="AE97" s="32">
        <v>0</v>
      </c>
      <c r="AF97" s="32">
        <v>0</v>
      </c>
      <c r="AG97" s="32">
        <v>0</v>
      </c>
      <c r="AH97" s="32">
        <v>34.76739660668148</v>
      </c>
      <c r="AI97" s="32">
        <v>8.6274620980930603</v>
      </c>
      <c r="AJ97" s="32">
        <v>71.957818527320882</v>
      </c>
      <c r="AK97" s="32">
        <v>-682.40716989947146</v>
      </c>
      <c r="AL97" s="32">
        <v>-567.05449266737605</v>
      </c>
      <c r="AM97" s="32">
        <v>648.69965497925489</v>
      </c>
      <c r="AN97" s="32">
        <v>111.70847221385941</v>
      </c>
      <c r="AO97" s="32">
        <v>76.040812719311432</v>
      </c>
      <c r="AP97" s="32">
        <v>0</v>
      </c>
      <c r="AQ97" s="32">
        <v>836.44893991242577</v>
      </c>
      <c r="AR97" s="32">
        <v>34.76739660668148</v>
      </c>
      <c r="AS97" s="383">
        <v>24.05842891761645</v>
      </c>
      <c r="AT97" s="32">
        <v>648.69965497925489</v>
      </c>
      <c r="AU97" s="32">
        <v>126.36705001567803</v>
      </c>
      <c r="AV97" s="32">
        <v>77.506670499493296</v>
      </c>
      <c r="AW97" s="32">
        <v>0</v>
      </c>
      <c r="AX97" s="32">
        <v>852.57337549442627</v>
      </c>
      <c r="AY97" s="32">
        <v>8.6274620980930603</v>
      </c>
      <c r="AZ97" s="383">
        <v>98.820877542060913</v>
      </c>
      <c r="BA97" s="32">
        <v>648.69965497925489</v>
      </c>
      <c r="BB97" s="32">
        <v>238.07552222953746</v>
      </c>
      <c r="BC97" s="32">
        <v>88.677517720879237</v>
      </c>
      <c r="BD97" s="32">
        <v>0</v>
      </c>
      <c r="BE97" s="32">
        <v>975.45269492967157</v>
      </c>
      <c r="BF97" s="32">
        <v>43.394858704774542</v>
      </c>
      <c r="BG97" s="32">
        <v>-15.415638623694418</v>
      </c>
      <c r="BH97" s="383">
        <v>22.478531421565542</v>
      </c>
      <c r="BI97" s="32">
        <v>1.891463375502958</v>
      </c>
      <c r="BJ97" s="32">
        <v>0.469362971484235</v>
      </c>
      <c r="BK97" s="32">
        <v>3.9147474821096995</v>
      </c>
      <c r="BL97" s="32">
        <v>-37.125246495949114</v>
      </c>
      <c r="BM97" s="32">
        <v>-30.849672666852221</v>
      </c>
      <c r="BN97" s="32">
        <v>648.69965497925489</v>
      </c>
      <c r="BO97" s="32">
        <v>0</v>
      </c>
      <c r="BP97" s="32">
        <v>238.07552222953746</v>
      </c>
      <c r="BQ97" s="32">
        <v>0</v>
      </c>
      <c r="BR97" s="32">
        <v>0</v>
      </c>
      <c r="BS97" s="32">
        <v>0</v>
      </c>
      <c r="BT97" s="32">
        <v>0</v>
      </c>
      <c r="BU97" s="32">
        <v>0</v>
      </c>
      <c r="BV97" s="32">
        <v>0</v>
      </c>
      <c r="BW97" s="32">
        <v>88.677517720879237</v>
      </c>
      <c r="BX97" s="32">
        <v>167.19915176563188</v>
      </c>
      <c r="BY97" s="32">
        <v>26.804630885182689</v>
      </c>
      <c r="BZ97" s="32">
        <v>-761.05827531819057</v>
      </c>
      <c r="CA97" s="32">
        <v>0</v>
      </c>
      <c r="CB97" s="32">
        <v>975.45269492967157</v>
      </c>
      <c r="CC97" s="32">
        <v>-567.05449266737605</v>
      </c>
      <c r="CD97" s="383">
        <v>8.9509129488129116</v>
      </c>
      <c r="CE97" s="32">
        <v>-48.626137637533823</v>
      </c>
      <c r="CF97" s="32">
        <v>12.849018816081845</v>
      </c>
      <c r="CG97" s="32">
        <v>0</v>
      </c>
      <c r="CH97" s="32">
        <v>12.849018816081845</v>
      </c>
      <c r="CI97" s="32">
        <v>0.64244796735980758</v>
      </c>
      <c r="CJ97" s="32">
        <v>0</v>
      </c>
      <c r="CK97" s="32">
        <v>0.64244796735980758</v>
      </c>
      <c r="CL97" s="32"/>
      <c r="CM97" s="32">
        <v>0</v>
      </c>
      <c r="CN97" s="32"/>
      <c r="CO97" s="32">
        <v>0</v>
      </c>
      <c r="CP97" s="32">
        <v>0</v>
      </c>
      <c r="CQ97" s="32">
        <v>0</v>
      </c>
      <c r="CR97" s="32">
        <v>0</v>
      </c>
      <c r="CS97" s="32">
        <v>0</v>
      </c>
      <c r="CT97" s="32">
        <v>0</v>
      </c>
      <c r="CU97" s="32">
        <v>71.957818527320882</v>
      </c>
      <c r="CV97" s="32">
        <v>9999</v>
      </c>
      <c r="CW97" s="384">
        <v>0</v>
      </c>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row>
    <row r="98" spans="1:131">
      <c r="A98" s="11" t="s">
        <v>532</v>
      </c>
      <c r="B98" s="11"/>
      <c r="C98" s="32">
        <v>16.279069767441861</v>
      </c>
      <c r="D98" s="32">
        <v>339.69999999999993</v>
      </c>
      <c r="E98" s="32">
        <v>0</v>
      </c>
      <c r="F98" s="32">
        <v>113.40810404906972</v>
      </c>
      <c r="G98" s="32">
        <v>-56</v>
      </c>
      <c r="H98" s="32">
        <v>0</v>
      </c>
      <c r="I98" s="32"/>
      <c r="J98" s="32"/>
      <c r="K98" s="32"/>
      <c r="L98" s="32">
        <v>384.34978736406504</v>
      </c>
      <c r="M98" s="32">
        <v>8.9839054793938777E-2</v>
      </c>
      <c r="N98" s="32">
        <v>8.523629487090964E-2</v>
      </c>
      <c r="O98" s="32">
        <v>0</v>
      </c>
      <c r="P98" s="32">
        <v>0</v>
      </c>
      <c r="Q98" s="32">
        <v>0</v>
      </c>
      <c r="R98" s="32">
        <v>22.61509090978879</v>
      </c>
      <c r="S98" s="32">
        <v>5.5992895024941172</v>
      </c>
      <c r="T98" s="32">
        <v>46.713463932730413</v>
      </c>
      <c r="U98" s="32">
        <v>66.553221979498687</v>
      </c>
      <c r="V98" s="32">
        <v>6.8044862429441837</v>
      </c>
      <c r="W98" s="32">
        <v>1.7011215607360455</v>
      </c>
      <c r="X98" s="32">
        <v>14.176013006133715</v>
      </c>
      <c r="Y98" s="32">
        <v>0</v>
      </c>
      <c r="Z98" s="32">
        <v>0</v>
      </c>
      <c r="AA98" s="32">
        <v>0</v>
      </c>
      <c r="AB98" s="32">
        <v>0</v>
      </c>
      <c r="AC98" s="32">
        <v>-761.05827531819057</v>
      </c>
      <c r="AD98" s="32">
        <v>0</v>
      </c>
      <c r="AE98" s="32">
        <v>0</v>
      </c>
      <c r="AF98" s="32">
        <v>0</v>
      </c>
      <c r="AG98" s="32">
        <v>0</v>
      </c>
      <c r="AH98" s="32">
        <v>29.419577152732973</v>
      </c>
      <c r="AI98" s="32">
        <v>7.3004110632301629</v>
      </c>
      <c r="AJ98" s="32">
        <v>60.889476938864128</v>
      </c>
      <c r="AK98" s="32">
        <v>-694.50505333869182</v>
      </c>
      <c r="AL98" s="32">
        <v>-596.89558818386467</v>
      </c>
      <c r="AM98" s="32">
        <v>184.34270770993186</v>
      </c>
      <c r="AN98" s="32">
        <v>31.744493902499592</v>
      </c>
      <c r="AO98" s="32">
        <v>21.608720161243145</v>
      </c>
      <c r="AP98" s="32">
        <v>0</v>
      </c>
      <c r="AQ98" s="32">
        <v>237.6959217736746</v>
      </c>
      <c r="AR98" s="32">
        <v>29.419577152732973</v>
      </c>
      <c r="AS98" s="383">
        <v>8.0795152336713141</v>
      </c>
      <c r="AT98" s="32">
        <v>184.34270770993186</v>
      </c>
      <c r="AU98" s="32">
        <v>35.910060975678277</v>
      </c>
      <c r="AV98" s="32">
        <v>22.025276868561015</v>
      </c>
      <c r="AW98" s="32">
        <v>0</v>
      </c>
      <c r="AX98" s="32">
        <v>242.27804555417114</v>
      </c>
      <c r="AY98" s="32">
        <v>7.3004110632301629</v>
      </c>
      <c r="AZ98" s="383">
        <v>33.186904607940257</v>
      </c>
      <c r="BA98" s="32">
        <v>184.34270770993186</v>
      </c>
      <c r="BB98" s="32">
        <v>67.654554878177862</v>
      </c>
      <c r="BC98" s="32">
        <v>25.199726258810973</v>
      </c>
      <c r="BD98" s="32">
        <v>0</v>
      </c>
      <c r="BE98" s="32">
        <v>277.1969888469207</v>
      </c>
      <c r="BF98" s="32">
        <v>36.719988215963134</v>
      </c>
      <c r="BG98" s="32">
        <v>-10.746615875388958</v>
      </c>
      <c r="BH98" s="383">
        <v>7.5489400273395502</v>
      </c>
      <c r="BI98" s="32">
        <v>5.6322236982942187</v>
      </c>
      <c r="BJ98" s="32">
        <v>1.3976253969984249</v>
      </c>
      <c r="BK98" s="32">
        <v>11.656970907889194</v>
      </c>
      <c r="BL98" s="32">
        <v>-132.95934879322004</v>
      </c>
      <c r="BM98" s="32">
        <v>-114.27252879003822</v>
      </c>
      <c r="BN98" s="32">
        <v>184.34270770993186</v>
      </c>
      <c r="BO98" s="32">
        <v>0</v>
      </c>
      <c r="BP98" s="32">
        <v>67.654554878177862</v>
      </c>
      <c r="BQ98" s="32">
        <v>0</v>
      </c>
      <c r="BR98" s="32">
        <v>0</v>
      </c>
      <c r="BS98" s="32">
        <v>0</v>
      </c>
      <c r="BT98" s="32">
        <v>0</v>
      </c>
      <c r="BU98" s="32">
        <v>0</v>
      </c>
      <c r="BV98" s="32">
        <v>0</v>
      </c>
      <c r="BW98" s="32">
        <v>25.199726258810973</v>
      </c>
      <c r="BX98" s="32">
        <v>141.481066324512</v>
      </c>
      <c r="BY98" s="32">
        <v>22.681620809813946</v>
      </c>
      <c r="BZ98" s="32">
        <v>-761.05827531819057</v>
      </c>
      <c r="CA98" s="32">
        <v>0</v>
      </c>
      <c r="CB98" s="32">
        <v>277.1969888469207</v>
      </c>
      <c r="CC98" s="32">
        <v>-596.89558818386467</v>
      </c>
      <c r="CD98" s="383">
        <v>6.3245508604251839</v>
      </c>
      <c r="CE98" s="32">
        <v>-132.04899376071984</v>
      </c>
      <c r="CF98" s="32">
        <v>3.6513398793901684</v>
      </c>
      <c r="CG98" s="32">
        <v>0</v>
      </c>
      <c r="CH98" s="32">
        <v>3.6513398793901684</v>
      </c>
      <c r="CI98" s="32">
        <v>0.18256614899793089</v>
      </c>
      <c r="CJ98" s="32">
        <v>0</v>
      </c>
      <c r="CK98" s="32">
        <v>0.18256614899793089</v>
      </c>
      <c r="CL98" s="32"/>
      <c r="CM98" s="32">
        <v>0</v>
      </c>
      <c r="CN98" s="32"/>
      <c r="CO98" s="32">
        <v>0</v>
      </c>
      <c r="CP98" s="32">
        <v>0</v>
      </c>
      <c r="CQ98" s="32">
        <v>0</v>
      </c>
      <c r="CR98" s="32">
        <v>0</v>
      </c>
      <c r="CS98" s="32">
        <v>0</v>
      </c>
      <c r="CT98" s="32">
        <v>0</v>
      </c>
      <c r="CU98" s="32">
        <v>60.889476938864128</v>
      </c>
      <c r="CV98" s="32">
        <v>9999</v>
      </c>
      <c r="CW98" s="384">
        <v>0</v>
      </c>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row>
    <row r="99" spans="1:131">
      <c r="A99" s="11" t="s">
        <v>534</v>
      </c>
      <c r="B99" s="11"/>
      <c r="C99" s="32">
        <v>16.279069767441861</v>
      </c>
      <c r="D99" s="32">
        <v>270.89999999999998</v>
      </c>
      <c r="E99" s="32">
        <v>0</v>
      </c>
      <c r="F99" s="32">
        <v>113.40810404906972</v>
      </c>
      <c r="G99" s="32">
        <v>-56</v>
      </c>
      <c r="H99" s="32">
        <v>0</v>
      </c>
      <c r="I99" s="32"/>
      <c r="J99" s="32"/>
      <c r="K99" s="32"/>
      <c r="L99" s="32">
        <v>306.50679245488732</v>
      </c>
      <c r="M99" s="32">
        <v>7.1643803190103078E-2</v>
      </c>
      <c r="N99" s="32">
        <v>6.7973247808446935E-2</v>
      </c>
      <c r="O99" s="32">
        <v>0</v>
      </c>
      <c r="P99" s="32">
        <v>0</v>
      </c>
      <c r="Q99" s="32">
        <v>0</v>
      </c>
      <c r="R99" s="32">
        <v>22.61509090978879</v>
      </c>
      <c r="S99" s="32">
        <v>5.5992895024941172</v>
      </c>
      <c r="T99" s="32">
        <v>46.713463932730413</v>
      </c>
      <c r="U99" s="32">
        <v>66.553221979498687</v>
      </c>
      <c r="V99" s="32">
        <v>6.8044862429441837</v>
      </c>
      <c r="W99" s="32">
        <v>1.7011215607360455</v>
      </c>
      <c r="X99" s="32">
        <v>14.176013006133715</v>
      </c>
      <c r="Y99" s="32">
        <v>0</v>
      </c>
      <c r="Z99" s="32">
        <v>0</v>
      </c>
      <c r="AA99" s="32">
        <v>0</v>
      </c>
      <c r="AB99" s="32">
        <v>0</v>
      </c>
      <c r="AC99" s="32">
        <v>-761.05827531819057</v>
      </c>
      <c r="AD99" s="32">
        <v>0</v>
      </c>
      <c r="AE99" s="32">
        <v>0</v>
      </c>
      <c r="AF99" s="32">
        <v>0</v>
      </c>
      <c r="AG99" s="32">
        <v>0</v>
      </c>
      <c r="AH99" s="32">
        <v>29.419577152732973</v>
      </c>
      <c r="AI99" s="32">
        <v>7.3004110632301629</v>
      </c>
      <c r="AJ99" s="32">
        <v>60.889476938864128</v>
      </c>
      <c r="AK99" s="32">
        <v>-694.50505333869182</v>
      </c>
      <c r="AL99" s="32">
        <v>-596.89558818386467</v>
      </c>
      <c r="AM99" s="32">
        <v>147.00747576868</v>
      </c>
      <c r="AN99" s="32">
        <v>25.315229314651578</v>
      </c>
      <c r="AO99" s="32">
        <v>17.232270508333158</v>
      </c>
      <c r="AP99" s="32">
        <v>0</v>
      </c>
      <c r="AQ99" s="32">
        <v>189.55497559166474</v>
      </c>
      <c r="AR99" s="32">
        <v>29.419577152732973</v>
      </c>
      <c r="AS99" s="383">
        <v>6.4431577179910544</v>
      </c>
      <c r="AT99" s="32">
        <v>147.00747576868</v>
      </c>
      <c r="AU99" s="32">
        <v>28.637137233768751</v>
      </c>
      <c r="AV99" s="32">
        <v>17.564461300244876</v>
      </c>
      <c r="AW99" s="32">
        <v>0</v>
      </c>
      <c r="AX99" s="32">
        <v>193.20907430269364</v>
      </c>
      <c r="AY99" s="32">
        <v>7.3004110632301629</v>
      </c>
      <c r="AZ99" s="383">
        <v>26.465506206332133</v>
      </c>
      <c r="BA99" s="32">
        <v>147.00747576868</v>
      </c>
      <c r="BB99" s="32">
        <v>53.952366548420329</v>
      </c>
      <c r="BC99" s="32">
        <v>20.095984231710034</v>
      </c>
      <c r="BD99" s="32">
        <v>0</v>
      </c>
      <c r="BE99" s="32">
        <v>221.05582654881039</v>
      </c>
      <c r="BF99" s="32">
        <v>36.719988215963134</v>
      </c>
      <c r="BG99" s="32">
        <v>-8.9612573749971869</v>
      </c>
      <c r="BH99" s="383">
        <v>6.0200407812961023</v>
      </c>
      <c r="BI99" s="32">
        <v>7.0626297169086243</v>
      </c>
      <c r="BJ99" s="32">
        <v>1.7525778787758028</v>
      </c>
      <c r="BK99" s="32">
        <v>14.617471455924544</v>
      </c>
      <c r="BL99" s="32">
        <v>-166.72680245499021</v>
      </c>
      <c r="BM99" s="32">
        <v>-143.29412340338126</v>
      </c>
      <c r="BN99" s="32">
        <v>147.00747576868</v>
      </c>
      <c r="BO99" s="32">
        <v>0</v>
      </c>
      <c r="BP99" s="32">
        <v>53.952366548420329</v>
      </c>
      <c r="BQ99" s="32">
        <v>0</v>
      </c>
      <c r="BR99" s="32">
        <v>0</v>
      </c>
      <c r="BS99" s="32">
        <v>0</v>
      </c>
      <c r="BT99" s="32">
        <v>0</v>
      </c>
      <c r="BU99" s="32">
        <v>0</v>
      </c>
      <c r="BV99" s="32">
        <v>0</v>
      </c>
      <c r="BW99" s="32">
        <v>20.095984231710034</v>
      </c>
      <c r="BX99" s="32">
        <v>141.481066324512</v>
      </c>
      <c r="BY99" s="32">
        <v>22.681620809813946</v>
      </c>
      <c r="BZ99" s="32">
        <v>-761.05827531819057</v>
      </c>
      <c r="CA99" s="32">
        <v>0</v>
      </c>
      <c r="CB99" s="32">
        <v>221.05582654881036</v>
      </c>
      <c r="CC99" s="32">
        <v>-596.89558818386467</v>
      </c>
      <c r="CD99" s="383">
        <v>5.9825659472995047</v>
      </c>
      <c r="CE99" s="32">
        <v>-161.07058837406288</v>
      </c>
      <c r="CF99" s="32">
        <v>2.9118280050832959</v>
      </c>
      <c r="CG99" s="32">
        <v>0</v>
      </c>
      <c r="CH99" s="32">
        <v>2.9118280050832959</v>
      </c>
      <c r="CI99" s="32">
        <v>0.14559072641607146</v>
      </c>
      <c r="CJ99" s="32">
        <v>0</v>
      </c>
      <c r="CK99" s="32">
        <v>0.14559072641607146</v>
      </c>
      <c r="CL99" s="32"/>
      <c r="CM99" s="32">
        <v>0</v>
      </c>
      <c r="CN99" s="32"/>
      <c r="CO99" s="32">
        <v>0</v>
      </c>
      <c r="CP99" s="32">
        <v>0</v>
      </c>
      <c r="CQ99" s="32">
        <v>0</v>
      </c>
      <c r="CR99" s="32">
        <v>0</v>
      </c>
      <c r="CS99" s="32">
        <v>0</v>
      </c>
      <c r="CT99" s="32">
        <v>0</v>
      </c>
      <c r="CU99" s="32">
        <v>60.889476938864128</v>
      </c>
      <c r="CV99" s="32">
        <v>9999</v>
      </c>
      <c r="CW99" s="384">
        <v>0</v>
      </c>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row>
    <row r="100" spans="1:131">
      <c r="A100" s="11" t="s">
        <v>955</v>
      </c>
      <c r="B100" s="11"/>
      <c r="C100" s="32">
        <v>16.279069767441861</v>
      </c>
      <c r="D100" s="32">
        <v>1195.4000000000001</v>
      </c>
      <c r="E100" s="32">
        <v>0</v>
      </c>
      <c r="F100" s="32">
        <v>134.02315442591345</v>
      </c>
      <c r="G100" s="32">
        <v>0</v>
      </c>
      <c r="H100" s="32">
        <v>-176.38229806324742</v>
      </c>
      <c r="I100" s="32"/>
      <c r="J100" s="32"/>
      <c r="K100" s="32"/>
      <c r="L100" s="32">
        <v>1352.5220365469634</v>
      </c>
      <c r="M100" s="32">
        <v>0.3161424966166454</v>
      </c>
      <c r="N100" s="32">
        <v>0.29994544271028972</v>
      </c>
      <c r="O100" s="32">
        <v>0</v>
      </c>
      <c r="P100" s="32">
        <v>0</v>
      </c>
      <c r="Q100" s="32">
        <v>0</v>
      </c>
      <c r="R100" s="32">
        <v>26.726007341126671</v>
      </c>
      <c r="S100" s="32">
        <v>6.617114781704359</v>
      </c>
      <c r="T100" s="32">
        <v>55.204924224081694</v>
      </c>
      <c r="U100" s="32">
        <v>78.651105418719141</v>
      </c>
      <c r="V100" s="32">
        <v>8.0413892655548072</v>
      </c>
      <c r="W100" s="32">
        <v>2.0103473163887013</v>
      </c>
      <c r="X100" s="32">
        <v>16.752894303239181</v>
      </c>
      <c r="Y100" s="32">
        <v>0</v>
      </c>
      <c r="Z100" s="32">
        <v>0</v>
      </c>
      <c r="AA100" s="32">
        <v>0</v>
      </c>
      <c r="AB100" s="32">
        <v>0</v>
      </c>
      <c r="AC100" s="32">
        <v>0</v>
      </c>
      <c r="AD100" s="32">
        <v>0</v>
      </c>
      <c r="AE100" s="32">
        <v>0</v>
      </c>
      <c r="AF100" s="32">
        <v>0</v>
      </c>
      <c r="AG100" s="32">
        <v>-176.38229806324742</v>
      </c>
      <c r="AH100" s="32">
        <v>34.76739660668148</v>
      </c>
      <c r="AI100" s="32">
        <v>8.6274620980930603</v>
      </c>
      <c r="AJ100" s="32">
        <v>71.957818527320882</v>
      </c>
      <c r="AK100" s="32">
        <v>-97.731192644528278</v>
      </c>
      <c r="AL100" s="32">
        <v>17.621484587567153</v>
      </c>
      <c r="AM100" s="32">
        <v>648.69965497925489</v>
      </c>
      <c r="AN100" s="32">
        <v>111.70847221385941</v>
      </c>
      <c r="AO100" s="32">
        <v>76.040812719311432</v>
      </c>
      <c r="AP100" s="32">
        <v>0</v>
      </c>
      <c r="AQ100" s="32">
        <v>836.44893991242577</v>
      </c>
      <c r="AR100" s="32">
        <v>34.76739660668148</v>
      </c>
      <c r="AS100" s="383">
        <v>24.05842891761645</v>
      </c>
      <c r="AT100" s="32">
        <v>648.69965497925489</v>
      </c>
      <c r="AU100" s="32">
        <v>126.36705001567803</v>
      </c>
      <c r="AV100" s="32">
        <v>77.506670499493296</v>
      </c>
      <c r="AW100" s="32">
        <v>0</v>
      </c>
      <c r="AX100" s="32">
        <v>852.57337549442627</v>
      </c>
      <c r="AY100" s="32">
        <v>8.6274620980930603</v>
      </c>
      <c r="AZ100" s="383">
        <v>98.820877542060913</v>
      </c>
      <c r="BA100" s="32">
        <v>648.69965497925489</v>
      </c>
      <c r="BB100" s="32">
        <v>238.07552222953746</v>
      </c>
      <c r="BC100" s="32">
        <v>88.677517720879237</v>
      </c>
      <c r="BD100" s="32">
        <v>0</v>
      </c>
      <c r="BE100" s="32">
        <v>975.45269492967157</v>
      </c>
      <c r="BF100" s="32">
        <v>43.394858704774542</v>
      </c>
      <c r="BG100" s="32">
        <v>-15.415638623694418</v>
      </c>
      <c r="BH100" s="383">
        <v>22.478531421565542</v>
      </c>
      <c r="BI100" s="32">
        <v>1.891463375502958</v>
      </c>
      <c r="BJ100" s="32">
        <v>0.469362971484235</v>
      </c>
      <c r="BK100" s="32">
        <v>3.9147474821096995</v>
      </c>
      <c r="BL100" s="32">
        <v>-5.3169057672792359</v>
      </c>
      <c r="BM100" s="32">
        <v>0.95866806181765685</v>
      </c>
      <c r="BN100" s="32">
        <v>648.69965497925489</v>
      </c>
      <c r="BO100" s="32">
        <v>0</v>
      </c>
      <c r="BP100" s="32">
        <v>238.07552222953746</v>
      </c>
      <c r="BQ100" s="32">
        <v>0</v>
      </c>
      <c r="BR100" s="32">
        <v>0</v>
      </c>
      <c r="BS100" s="32">
        <v>0</v>
      </c>
      <c r="BT100" s="32">
        <v>0</v>
      </c>
      <c r="BU100" s="32">
        <v>0</v>
      </c>
      <c r="BV100" s="32">
        <v>0</v>
      </c>
      <c r="BW100" s="32">
        <v>88.677517720879237</v>
      </c>
      <c r="BX100" s="32">
        <v>167.19915176563188</v>
      </c>
      <c r="BY100" s="32">
        <v>26.804630885182689</v>
      </c>
      <c r="BZ100" s="32">
        <v>0</v>
      </c>
      <c r="CA100" s="32">
        <v>-176.38229806324742</v>
      </c>
      <c r="CB100" s="32">
        <v>975.45269492967157</v>
      </c>
      <c r="CC100" s="32">
        <v>17.621484587567153</v>
      </c>
      <c r="CD100" s="383">
        <v>5.9371780140292154</v>
      </c>
      <c r="CE100" s="32">
        <v>-16.817796908863954</v>
      </c>
      <c r="CF100" s="32">
        <v>12.849018816081845</v>
      </c>
      <c r="CG100" s="32">
        <v>0</v>
      </c>
      <c r="CH100" s="32">
        <v>12.849018816081845</v>
      </c>
      <c r="CI100" s="32">
        <v>0.64244796735980758</v>
      </c>
      <c r="CJ100" s="32">
        <v>0</v>
      </c>
      <c r="CK100" s="32">
        <v>0.64244796735980758</v>
      </c>
      <c r="CL100" s="32"/>
      <c r="CM100" s="32">
        <v>0</v>
      </c>
      <c r="CN100" s="32"/>
      <c r="CO100" s="32">
        <v>0</v>
      </c>
      <c r="CP100" s="32">
        <v>0</v>
      </c>
      <c r="CQ100" s="32">
        <v>0</v>
      </c>
      <c r="CR100" s="32">
        <v>0</v>
      </c>
      <c r="CS100" s="32">
        <v>0</v>
      </c>
      <c r="CT100" s="32">
        <v>0</v>
      </c>
      <c r="CU100" s="32">
        <v>71.957818527320882</v>
      </c>
      <c r="CV100" s="32">
        <v>9999</v>
      </c>
      <c r="CW100" s="384">
        <v>0</v>
      </c>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row>
    <row r="101" spans="1:131">
      <c r="A101" s="11" t="s">
        <v>847</v>
      </c>
      <c r="B101" s="11"/>
      <c r="C101" s="32">
        <v>16.279069767441861</v>
      </c>
      <c r="D101" s="32">
        <v>666.5</v>
      </c>
      <c r="E101" s="32">
        <v>0</v>
      </c>
      <c r="F101" s="32">
        <v>162.01157721295672</v>
      </c>
      <c r="G101" s="32">
        <v>-56</v>
      </c>
      <c r="H101" s="32">
        <v>0</v>
      </c>
      <c r="I101" s="32"/>
      <c r="J101" s="32"/>
      <c r="K101" s="32"/>
      <c r="L101" s="32">
        <v>754.1040131826594</v>
      </c>
      <c r="M101" s="32">
        <v>0.1762664999121584</v>
      </c>
      <c r="N101" s="32">
        <v>0.16723576841760757</v>
      </c>
      <c r="O101" s="32">
        <v>0</v>
      </c>
      <c r="P101" s="32">
        <v>0</v>
      </c>
      <c r="Q101" s="32">
        <v>0</v>
      </c>
      <c r="R101" s="32">
        <v>32.307272728269702</v>
      </c>
      <c r="S101" s="32">
        <v>7.998985003563023</v>
      </c>
      <c r="T101" s="32">
        <v>66.733519903900572</v>
      </c>
      <c r="U101" s="32">
        <v>95.076031399283835</v>
      </c>
      <c r="V101" s="32">
        <v>9.7206946327774038</v>
      </c>
      <c r="W101" s="32">
        <v>2.4301736581943505</v>
      </c>
      <c r="X101" s="32">
        <v>20.25144715161959</v>
      </c>
      <c r="Y101" s="32">
        <v>0</v>
      </c>
      <c r="Z101" s="32">
        <v>0</v>
      </c>
      <c r="AA101" s="32">
        <v>0</v>
      </c>
      <c r="AB101" s="32">
        <v>0</v>
      </c>
      <c r="AC101" s="32">
        <v>-761.05827531819057</v>
      </c>
      <c r="AD101" s="32">
        <v>0</v>
      </c>
      <c r="AE101" s="32">
        <v>0</v>
      </c>
      <c r="AF101" s="32">
        <v>0</v>
      </c>
      <c r="AG101" s="32">
        <v>0</v>
      </c>
      <c r="AH101" s="32">
        <v>42.027967361047104</v>
      </c>
      <c r="AI101" s="32">
        <v>10.429158661757373</v>
      </c>
      <c r="AJ101" s="32">
        <v>86.984967055520158</v>
      </c>
      <c r="AK101" s="32">
        <v>-665.98224391890676</v>
      </c>
      <c r="AL101" s="32">
        <v>-526.5401508405821</v>
      </c>
      <c r="AM101" s="32">
        <v>361.68505943087922</v>
      </c>
      <c r="AN101" s="32">
        <v>62.283500694777707</v>
      </c>
      <c r="AO101" s="32">
        <v>42.396856012565692</v>
      </c>
      <c r="AP101" s="32">
        <v>0</v>
      </c>
      <c r="AQ101" s="32">
        <v>466.36541613822266</v>
      </c>
      <c r="AR101" s="32">
        <v>42.027967361047104</v>
      </c>
      <c r="AS101" s="383">
        <v>11.096549403206813</v>
      </c>
      <c r="AT101" s="32">
        <v>361.68505943087922</v>
      </c>
      <c r="AU101" s="32">
        <v>70.456448749748532</v>
      </c>
      <c r="AV101" s="32">
        <v>43.214150818062777</v>
      </c>
      <c r="AW101" s="32">
        <v>0</v>
      </c>
      <c r="AX101" s="32">
        <v>475.3556589986905</v>
      </c>
      <c r="AY101" s="32">
        <v>10.429158661757373</v>
      </c>
      <c r="AZ101" s="383">
        <v>45.579482910905327</v>
      </c>
      <c r="BA101" s="32">
        <v>361.68505943087922</v>
      </c>
      <c r="BB101" s="32">
        <v>132.73994944452625</v>
      </c>
      <c r="BC101" s="32">
        <v>49.442500887540547</v>
      </c>
      <c r="BD101" s="32">
        <v>0</v>
      </c>
      <c r="BE101" s="32">
        <v>543.86750976294604</v>
      </c>
      <c r="BF101" s="32">
        <v>52.457126022804474</v>
      </c>
      <c r="BG101" s="32">
        <v>-12.657957334477748</v>
      </c>
      <c r="BH101" s="383">
        <v>10.367848012232175</v>
      </c>
      <c r="BI101" s="32">
        <v>4.1008817711082326</v>
      </c>
      <c r="BJ101" s="32">
        <v>1.0176258650956271</v>
      </c>
      <c r="BK101" s="32">
        <v>8.4875640711819891</v>
      </c>
      <c r="BL101" s="32">
        <v>-64.983262704731402</v>
      </c>
      <c r="BM101" s="32">
        <v>-51.377190997345551</v>
      </c>
      <c r="BN101" s="32">
        <v>361.68505943087922</v>
      </c>
      <c r="BO101" s="32">
        <v>0</v>
      </c>
      <c r="BP101" s="32">
        <v>132.73994944452625</v>
      </c>
      <c r="BQ101" s="32">
        <v>0</v>
      </c>
      <c r="BR101" s="32">
        <v>0</v>
      </c>
      <c r="BS101" s="32">
        <v>0</v>
      </c>
      <c r="BT101" s="32">
        <v>0</v>
      </c>
      <c r="BU101" s="32">
        <v>0</v>
      </c>
      <c r="BV101" s="32">
        <v>0</v>
      </c>
      <c r="BW101" s="32">
        <v>49.442500887540547</v>
      </c>
      <c r="BX101" s="32">
        <v>202.11580903501712</v>
      </c>
      <c r="BY101" s="32">
        <v>32.402315442591345</v>
      </c>
      <c r="BZ101" s="32">
        <v>-761.05827531819057</v>
      </c>
      <c r="CA101" s="32">
        <v>0</v>
      </c>
      <c r="CB101" s="32">
        <v>543.86750976294604</v>
      </c>
      <c r="CC101" s="32">
        <v>-526.5401508405821</v>
      </c>
      <c r="CD101" s="383">
        <v>5.564285438440514</v>
      </c>
      <c r="CE101" s="32">
        <v>-69.153655968027167</v>
      </c>
      <c r="CF101" s="32">
        <v>7.1640212823477789</v>
      </c>
      <c r="CG101" s="32">
        <v>0</v>
      </c>
      <c r="CH101" s="32">
        <v>7.1640212823477789</v>
      </c>
      <c r="CI101" s="32">
        <v>0.35819940626176316</v>
      </c>
      <c r="CJ101" s="32">
        <v>0</v>
      </c>
      <c r="CK101" s="32">
        <v>0.35819940626176316</v>
      </c>
      <c r="CL101" s="32"/>
      <c r="CM101" s="32">
        <v>0</v>
      </c>
      <c r="CN101" s="32"/>
      <c r="CO101" s="32">
        <v>0</v>
      </c>
      <c r="CP101" s="32">
        <v>0</v>
      </c>
      <c r="CQ101" s="32">
        <v>0</v>
      </c>
      <c r="CR101" s="32">
        <v>0</v>
      </c>
      <c r="CS101" s="32">
        <v>0</v>
      </c>
      <c r="CT101" s="32">
        <v>0</v>
      </c>
      <c r="CU101" s="32">
        <v>86.984967055520158</v>
      </c>
      <c r="CV101" s="32">
        <v>9999</v>
      </c>
      <c r="CW101" s="384">
        <v>0</v>
      </c>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row>
    <row r="102" spans="1:131">
      <c r="A102" s="11" t="s">
        <v>845</v>
      </c>
      <c r="B102" s="11"/>
      <c r="C102" s="32">
        <v>16.279069767441861</v>
      </c>
      <c r="D102" s="32">
        <v>408.5</v>
      </c>
      <c r="E102" s="32">
        <v>0</v>
      </c>
      <c r="F102" s="32">
        <v>162.01157721295672</v>
      </c>
      <c r="G102" s="32">
        <v>-56</v>
      </c>
      <c r="H102" s="32">
        <v>0</v>
      </c>
      <c r="I102" s="32"/>
      <c r="J102" s="32"/>
      <c r="K102" s="32"/>
      <c r="L102" s="32">
        <v>462.19278227324287</v>
      </c>
      <c r="M102" s="32">
        <v>0.10803430639777449</v>
      </c>
      <c r="N102" s="32">
        <v>0.10249934193337237</v>
      </c>
      <c r="O102" s="32">
        <v>0</v>
      </c>
      <c r="P102" s="32">
        <v>0</v>
      </c>
      <c r="Q102" s="32">
        <v>0</v>
      </c>
      <c r="R102" s="32">
        <v>32.307272728269702</v>
      </c>
      <c r="S102" s="32">
        <v>7.998985003563023</v>
      </c>
      <c r="T102" s="32">
        <v>66.733519903900572</v>
      </c>
      <c r="U102" s="32">
        <v>95.076031399283835</v>
      </c>
      <c r="V102" s="32">
        <v>9.7206946327774038</v>
      </c>
      <c r="W102" s="32">
        <v>2.4301736581943505</v>
      </c>
      <c r="X102" s="32">
        <v>20.25144715161959</v>
      </c>
      <c r="Y102" s="32">
        <v>0</v>
      </c>
      <c r="Z102" s="32">
        <v>0</v>
      </c>
      <c r="AA102" s="32">
        <v>0</v>
      </c>
      <c r="AB102" s="32">
        <v>0</v>
      </c>
      <c r="AC102" s="32">
        <v>-761.05827531819057</v>
      </c>
      <c r="AD102" s="32">
        <v>0</v>
      </c>
      <c r="AE102" s="32">
        <v>0</v>
      </c>
      <c r="AF102" s="32">
        <v>0</v>
      </c>
      <c r="AG102" s="32">
        <v>0</v>
      </c>
      <c r="AH102" s="32">
        <v>42.027967361047104</v>
      </c>
      <c r="AI102" s="32">
        <v>10.429158661757373</v>
      </c>
      <c r="AJ102" s="32">
        <v>86.984967055520158</v>
      </c>
      <c r="AK102" s="32">
        <v>-665.98224391890676</v>
      </c>
      <c r="AL102" s="32">
        <v>-526.5401508405821</v>
      </c>
      <c r="AM102" s="32">
        <v>221.67793965118409</v>
      </c>
      <c r="AN102" s="32">
        <v>38.173758490347623</v>
      </c>
      <c r="AO102" s="32">
        <v>25.985169814153174</v>
      </c>
      <c r="AP102" s="32">
        <v>0</v>
      </c>
      <c r="AQ102" s="32">
        <v>285.83686795568485</v>
      </c>
      <c r="AR102" s="32">
        <v>42.027967361047104</v>
      </c>
      <c r="AS102" s="383">
        <v>6.8011109245461112</v>
      </c>
      <c r="AT102" s="32">
        <v>221.67793965118409</v>
      </c>
      <c r="AU102" s="32">
        <v>43.182984717587814</v>
      </c>
      <c r="AV102" s="32">
        <v>26.486092436877193</v>
      </c>
      <c r="AW102" s="32">
        <v>0</v>
      </c>
      <c r="AX102" s="32">
        <v>291.3470168056491</v>
      </c>
      <c r="AY102" s="32">
        <v>10.429158661757373</v>
      </c>
      <c r="AZ102" s="383">
        <v>27.935812106683919</v>
      </c>
      <c r="BA102" s="32">
        <v>221.67793965118409</v>
      </c>
      <c r="BB102" s="32">
        <v>81.356743207935438</v>
      </c>
      <c r="BC102" s="32">
        <v>30.303468285911954</v>
      </c>
      <c r="BD102" s="32">
        <v>0</v>
      </c>
      <c r="BE102" s="32">
        <v>333.33815114503147</v>
      </c>
      <c r="BF102" s="32">
        <v>52.457126022804474</v>
      </c>
      <c r="BG102" s="32">
        <v>-9.4252156695068887</v>
      </c>
      <c r="BH102" s="383">
        <v>6.3544874913681078</v>
      </c>
      <c r="BI102" s="32">
        <v>6.6909123633871159</v>
      </c>
      <c r="BJ102" s="32">
        <v>1.6603369377876021</v>
      </c>
      <c r="BK102" s="32">
        <v>13.848130852981141</v>
      </c>
      <c r="BL102" s="32">
        <v>-106.02532336035124</v>
      </c>
      <c r="BM102" s="32">
        <v>-83.825943206195376</v>
      </c>
      <c r="BN102" s="32">
        <v>221.67793965118409</v>
      </c>
      <c r="BO102" s="32">
        <v>0</v>
      </c>
      <c r="BP102" s="32">
        <v>81.356743207935438</v>
      </c>
      <c r="BQ102" s="32">
        <v>0</v>
      </c>
      <c r="BR102" s="32">
        <v>0</v>
      </c>
      <c r="BS102" s="32">
        <v>0</v>
      </c>
      <c r="BT102" s="32">
        <v>0</v>
      </c>
      <c r="BU102" s="32">
        <v>0</v>
      </c>
      <c r="BV102" s="32">
        <v>0</v>
      </c>
      <c r="BW102" s="32">
        <v>30.303468285911954</v>
      </c>
      <c r="BX102" s="32">
        <v>202.11580903501712</v>
      </c>
      <c r="BY102" s="32">
        <v>32.402315442591345</v>
      </c>
      <c r="BZ102" s="32">
        <v>-761.05827531819057</v>
      </c>
      <c r="CA102" s="32">
        <v>0</v>
      </c>
      <c r="CB102" s="32">
        <v>333.33815114503147</v>
      </c>
      <c r="CC102" s="32">
        <v>-526.5401508405821</v>
      </c>
      <c r="CD102" s="383">
        <v>4.6665750414856051</v>
      </c>
      <c r="CE102" s="32">
        <v>-101.60240817687696</v>
      </c>
      <c r="CF102" s="32">
        <v>4.3908517536970244</v>
      </c>
      <c r="CG102" s="32">
        <v>0</v>
      </c>
      <c r="CH102" s="32">
        <v>4.3908517536970244</v>
      </c>
      <c r="CI102" s="32">
        <v>0.21954157157979032</v>
      </c>
      <c r="CJ102" s="32">
        <v>0</v>
      </c>
      <c r="CK102" s="32">
        <v>0.21954157157979032</v>
      </c>
      <c r="CL102" s="32"/>
      <c r="CM102" s="32">
        <v>0</v>
      </c>
      <c r="CN102" s="32"/>
      <c r="CO102" s="32">
        <v>0</v>
      </c>
      <c r="CP102" s="32">
        <v>0</v>
      </c>
      <c r="CQ102" s="32">
        <v>0</v>
      </c>
      <c r="CR102" s="32">
        <v>0</v>
      </c>
      <c r="CS102" s="32">
        <v>0</v>
      </c>
      <c r="CT102" s="32">
        <v>0</v>
      </c>
      <c r="CU102" s="32">
        <v>86.984967055520158</v>
      </c>
      <c r="CV102" s="32">
        <v>9999</v>
      </c>
      <c r="CW102" s="384">
        <v>0</v>
      </c>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row>
    <row r="103" spans="1:131">
      <c r="A103" s="11" t="s">
        <v>873</v>
      </c>
      <c r="B103" s="11"/>
      <c r="C103" s="32">
        <v>16.279069767441861</v>
      </c>
      <c r="D103" s="32">
        <v>2919.7</v>
      </c>
      <c r="E103" s="32">
        <v>0</v>
      </c>
      <c r="F103" s="32">
        <v>532.0694632777404</v>
      </c>
      <c r="G103" s="32">
        <v>-56</v>
      </c>
      <c r="H103" s="32">
        <v>0</v>
      </c>
      <c r="I103" s="32"/>
      <c r="J103" s="32"/>
      <c r="K103" s="32"/>
      <c r="L103" s="32">
        <v>3303.4620964582305</v>
      </c>
      <c r="M103" s="32">
        <v>0.77216098993777771</v>
      </c>
      <c r="N103" s="32">
        <v>0.73260055971326143</v>
      </c>
      <c r="O103" s="32">
        <v>0</v>
      </c>
      <c r="P103" s="32">
        <v>0</v>
      </c>
      <c r="Q103" s="32">
        <v>0</v>
      </c>
      <c r="R103" s="32">
        <v>106.10175862866241</v>
      </c>
      <c r="S103" s="32">
        <v>26.269824236191074</v>
      </c>
      <c r="T103" s="32">
        <v>219.16253596636892</v>
      </c>
      <c r="U103" s="32">
        <v>312.24344498973795</v>
      </c>
      <c r="V103" s="32">
        <v>31.924167796664424</v>
      </c>
      <c r="W103" s="32">
        <v>7.9810419491661042</v>
      </c>
      <c r="X103" s="32">
        <v>66.50868290971755</v>
      </c>
      <c r="Y103" s="32">
        <v>0</v>
      </c>
      <c r="Z103" s="32">
        <v>0</v>
      </c>
      <c r="AA103" s="32">
        <v>0</v>
      </c>
      <c r="AB103" s="32">
        <v>0</v>
      </c>
      <c r="AC103" s="32">
        <v>-761.05827531819057</v>
      </c>
      <c r="AD103" s="32">
        <v>0</v>
      </c>
      <c r="AE103" s="32">
        <v>0</v>
      </c>
      <c r="AF103" s="32">
        <v>0</v>
      </c>
      <c r="AG103" s="32">
        <v>0</v>
      </c>
      <c r="AH103" s="32">
        <v>138.02592642532684</v>
      </c>
      <c r="AI103" s="32">
        <v>34.250866185357175</v>
      </c>
      <c r="AJ103" s="32">
        <v>285.67121887608647</v>
      </c>
      <c r="AK103" s="32">
        <v>-448.81483032845262</v>
      </c>
      <c r="AL103" s="32">
        <v>9.1331811583177824</v>
      </c>
      <c r="AM103" s="32">
        <v>1584.4139055068827</v>
      </c>
      <c r="AN103" s="32">
        <v>272.84191594680038</v>
      </c>
      <c r="AO103" s="32">
        <v>185.72558214536832</v>
      </c>
      <c r="AP103" s="32">
        <v>0</v>
      </c>
      <c r="AQ103" s="32">
        <v>2042.9814035990512</v>
      </c>
      <c r="AR103" s="32">
        <v>138.02592642532684</v>
      </c>
      <c r="AS103" s="383">
        <v>14.801432285291133</v>
      </c>
      <c r="AT103" s="32">
        <v>1584.4139055068827</v>
      </c>
      <c r="AU103" s="32">
        <v>308.64470129728545</v>
      </c>
      <c r="AV103" s="32">
        <v>189.30586068041683</v>
      </c>
      <c r="AW103" s="32">
        <v>0</v>
      </c>
      <c r="AX103" s="32">
        <v>2082.364467484585</v>
      </c>
      <c r="AY103" s="32">
        <v>34.250866185357175</v>
      </c>
      <c r="AZ103" s="383">
        <v>60.797424982344857</v>
      </c>
      <c r="BA103" s="32">
        <v>1584.4139055068827</v>
      </c>
      <c r="BB103" s="32">
        <v>581.48661724408589</v>
      </c>
      <c r="BC103" s="32">
        <v>216.59005227509687</v>
      </c>
      <c r="BD103" s="32">
        <v>0</v>
      </c>
      <c r="BE103" s="32">
        <v>2382.490575026065</v>
      </c>
      <c r="BF103" s="32">
        <v>172.276792610684</v>
      </c>
      <c r="BG103" s="32">
        <v>-13.939148975778181</v>
      </c>
      <c r="BH103" s="383">
        <v>13.829434243125741</v>
      </c>
      <c r="BI103" s="32">
        <v>3.0744076851963693</v>
      </c>
      <c r="BJ103" s="32">
        <v>0.76290830970704138</v>
      </c>
      <c r="BK103" s="32">
        <v>6.3630783976458618</v>
      </c>
      <c r="BL103" s="32">
        <v>-9.9969607111342516</v>
      </c>
      <c r="BM103" s="32">
        <v>0.20343368141501955</v>
      </c>
      <c r="BN103" s="32">
        <v>1584.4139055068827</v>
      </c>
      <c r="BO103" s="32">
        <v>0</v>
      </c>
      <c r="BP103" s="32">
        <v>581.48661724408589</v>
      </c>
      <c r="BQ103" s="32">
        <v>0</v>
      </c>
      <c r="BR103" s="32">
        <v>0</v>
      </c>
      <c r="BS103" s="32">
        <v>0</v>
      </c>
      <c r="BT103" s="32">
        <v>0</v>
      </c>
      <c r="BU103" s="32">
        <v>0</v>
      </c>
      <c r="BV103" s="32">
        <v>0</v>
      </c>
      <c r="BW103" s="32">
        <v>216.59005227509687</v>
      </c>
      <c r="BX103" s="32">
        <v>663.77756382096027</v>
      </c>
      <c r="BY103" s="32">
        <v>106.41389265554808</v>
      </c>
      <c r="BZ103" s="32">
        <v>-761.05827531819057</v>
      </c>
      <c r="CA103" s="32">
        <v>0</v>
      </c>
      <c r="CB103" s="32">
        <v>2382.490575026065</v>
      </c>
      <c r="CC103" s="32">
        <v>9.1331811583177824</v>
      </c>
      <c r="CD103" s="383">
        <v>4.0815161268153295</v>
      </c>
      <c r="CE103" s="32">
        <v>-17.573031289266574</v>
      </c>
      <c r="CF103" s="32">
        <v>31.383035165897827</v>
      </c>
      <c r="CG103" s="32">
        <v>0</v>
      </c>
      <c r="CH103" s="32">
        <v>31.383035165897827</v>
      </c>
      <c r="CI103" s="32">
        <v>1.5691444958176588</v>
      </c>
      <c r="CJ103" s="32">
        <v>0</v>
      </c>
      <c r="CK103" s="32">
        <v>1.5691444958176588</v>
      </c>
      <c r="CL103" s="32"/>
      <c r="CM103" s="32">
        <v>0</v>
      </c>
      <c r="CN103" s="32"/>
      <c r="CO103" s="32">
        <v>0</v>
      </c>
      <c r="CP103" s="32">
        <v>0</v>
      </c>
      <c r="CQ103" s="32">
        <v>0</v>
      </c>
      <c r="CR103" s="32">
        <v>0</v>
      </c>
      <c r="CS103" s="32">
        <v>0</v>
      </c>
      <c r="CT103" s="32">
        <v>0</v>
      </c>
      <c r="CU103" s="32">
        <v>285.67121887608647</v>
      </c>
      <c r="CV103" s="32">
        <v>9999</v>
      </c>
      <c r="CW103" s="384">
        <v>0</v>
      </c>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row>
    <row r="104" spans="1:131">
      <c r="A104" s="11" t="s">
        <v>958</v>
      </c>
      <c r="B104" s="11"/>
      <c r="C104" s="32">
        <v>16.279069767441861</v>
      </c>
      <c r="D104" s="32">
        <v>1195.4000000000001</v>
      </c>
      <c r="E104" s="32">
        <v>0</v>
      </c>
      <c r="F104" s="32">
        <v>324.02315442591345</v>
      </c>
      <c r="G104" s="32">
        <v>-56</v>
      </c>
      <c r="H104" s="32">
        <v>0</v>
      </c>
      <c r="I104" s="32"/>
      <c r="J104" s="32"/>
      <c r="K104" s="32"/>
      <c r="L104" s="32">
        <v>1352.5220365469634</v>
      </c>
      <c r="M104" s="32">
        <v>0.3161424966166454</v>
      </c>
      <c r="N104" s="32">
        <v>0.29994544271028972</v>
      </c>
      <c r="O104" s="32">
        <v>0</v>
      </c>
      <c r="P104" s="32">
        <v>0</v>
      </c>
      <c r="Q104" s="32">
        <v>0</v>
      </c>
      <c r="R104" s="32">
        <v>64.614545456539403</v>
      </c>
      <c r="S104" s="32">
        <v>15.997970007126046</v>
      </c>
      <c r="T104" s="32">
        <v>133.46703980780114</v>
      </c>
      <c r="U104" s="32">
        <v>190.15206279856767</v>
      </c>
      <c r="V104" s="32">
        <v>19.441389265554808</v>
      </c>
      <c r="W104" s="32">
        <v>4.860347316388701</v>
      </c>
      <c r="X104" s="32">
        <v>40.502894303239181</v>
      </c>
      <c r="Y104" s="32">
        <v>0</v>
      </c>
      <c r="Z104" s="32">
        <v>0</v>
      </c>
      <c r="AA104" s="32">
        <v>0</v>
      </c>
      <c r="AB104" s="32">
        <v>0</v>
      </c>
      <c r="AC104" s="32">
        <v>-761.05827531819057</v>
      </c>
      <c r="AD104" s="32">
        <v>0</v>
      </c>
      <c r="AE104" s="32">
        <v>0</v>
      </c>
      <c r="AF104" s="32">
        <v>0</v>
      </c>
      <c r="AG104" s="32">
        <v>0</v>
      </c>
      <c r="AH104" s="32">
        <v>84.055934722094207</v>
      </c>
      <c r="AI104" s="32">
        <v>20.858317323514747</v>
      </c>
      <c r="AJ104" s="32">
        <v>173.96993411104032</v>
      </c>
      <c r="AK104" s="32">
        <v>-570.90621251962284</v>
      </c>
      <c r="AL104" s="32">
        <v>-292.02202636297363</v>
      </c>
      <c r="AM104" s="32">
        <v>648.69965497925489</v>
      </c>
      <c r="AN104" s="32">
        <v>111.70847221385941</v>
      </c>
      <c r="AO104" s="32">
        <v>76.040812719311432</v>
      </c>
      <c r="AP104" s="32">
        <v>0</v>
      </c>
      <c r="AQ104" s="32">
        <v>836.44893991242577</v>
      </c>
      <c r="AR104" s="32">
        <v>84.055934722094207</v>
      </c>
      <c r="AS104" s="383">
        <v>9.9510991422306336</v>
      </c>
      <c r="AT104" s="32">
        <v>648.69965497925489</v>
      </c>
      <c r="AU104" s="32">
        <v>126.36705001567803</v>
      </c>
      <c r="AV104" s="32">
        <v>77.506670499493296</v>
      </c>
      <c r="AW104" s="32">
        <v>0</v>
      </c>
      <c r="AX104" s="32">
        <v>852.57337549442627</v>
      </c>
      <c r="AY104" s="32">
        <v>20.858317323514747</v>
      </c>
      <c r="AZ104" s="383">
        <v>40.874504029779651</v>
      </c>
      <c r="BA104" s="32">
        <v>648.69965497925489</v>
      </c>
      <c r="BB104" s="32">
        <v>238.07552222953746</v>
      </c>
      <c r="BC104" s="32">
        <v>88.677517720879237</v>
      </c>
      <c r="BD104" s="32">
        <v>0</v>
      </c>
      <c r="BE104" s="32">
        <v>975.45269492967157</v>
      </c>
      <c r="BF104" s="32">
        <v>104.91425204560895</v>
      </c>
      <c r="BG104" s="32">
        <v>-12.06877659937515</v>
      </c>
      <c r="BH104" s="383">
        <v>9.2976185400017624</v>
      </c>
      <c r="BI104" s="32">
        <v>4.5729257159839998</v>
      </c>
      <c r="BJ104" s="32">
        <v>1.1347626553224619</v>
      </c>
      <c r="BK104" s="32">
        <v>9.4645498635482621</v>
      </c>
      <c r="BL104" s="32">
        <v>-31.059219188716977</v>
      </c>
      <c r="BM104" s="32">
        <v>-15.886980953862253</v>
      </c>
      <c r="BN104" s="32">
        <v>648.69965497925489</v>
      </c>
      <c r="BO104" s="32">
        <v>0</v>
      </c>
      <c r="BP104" s="32">
        <v>238.07552222953746</v>
      </c>
      <c r="BQ104" s="32">
        <v>0</v>
      </c>
      <c r="BR104" s="32">
        <v>0</v>
      </c>
      <c r="BS104" s="32">
        <v>0</v>
      </c>
      <c r="BT104" s="32">
        <v>0</v>
      </c>
      <c r="BU104" s="32">
        <v>0</v>
      </c>
      <c r="BV104" s="32">
        <v>0</v>
      </c>
      <c r="BW104" s="32">
        <v>88.677517720879237</v>
      </c>
      <c r="BX104" s="32">
        <v>404.23161807003424</v>
      </c>
      <c r="BY104" s="32">
        <v>64.804630885182689</v>
      </c>
      <c r="BZ104" s="32">
        <v>-761.05827531819057</v>
      </c>
      <c r="CA104" s="32">
        <v>0</v>
      </c>
      <c r="CB104" s="32">
        <v>975.45269492967157</v>
      </c>
      <c r="CC104" s="32">
        <v>-292.02202636297363</v>
      </c>
      <c r="CD104" s="383">
        <v>3.702295876099039</v>
      </c>
      <c r="CE104" s="32">
        <v>-33.663445924543858</v>
      </c>
      <c r="CF104" s="32">
        <v>12.849018816081845</v>
      </c>
      <c r="CG104" s="32">
        <v>0</v>
      </c>
      <c r="CH104" s="32">
        <v>12.849018816081845</v>
      </c>
      <c r="CI104" s="32">
        <v>0.64244796735980758</v>
      </c>
      <c r="CJ104" s="32">
        <v>0</v>
      </c>
      <c r="CK104" s="32">
        <v>0.64244796735980758</v>
      </c>
      <c r="CL104" s="32"/>
      <c r="CM104" s="32">
        <v>0</v>
      </c>
      <c r="CN104" s="32"/>
      <c r="CO104" s="32">
        <v>0</v>
      </c>
      <c r="CP104" s="32">
        <v>0</v>
      </c>
      <c r="CQ104" s="32">
        <v>0</v>
      </c>
      <c r="CR104" s="32">
        <v>0</v>
      </c>
      <c r="CS104" s="32">
        <v>0</v>
      </c>
      <c r="CT104" s="32">
        <v>0</v>
      </c>
      <c r="CU104" s="32">
        <v>173.96993411104032</v>
      </c>
      <c r="CV104" s="32">
        <v>9999</v>
      </c>
      <c r="CW104" s="384">
        <v>0</v>
      </c>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row>
    <row r="105" spans="1:131">
      <c r="A105" s="11" t="s">
        <v>872</v>
      </c>
      <c r="B105" s="11"/>
      <c r="C105" s="32">
        <v>16.279069767441861</v>
      </c>
      <c r="D105" s="32">
        <v>2919.7</v>
      </c>
      <c r="E105" s="32">
        <v>0</v>
      </c>
      <c r="F105" s="32">
        <v>532.0694632777404</v>
      </c>
      <c r="G105" s="32">
        <v>0</v>
      </c>
      <c r="H105" s="32">
        <v>-180.63247392019312</v>
      </c>
      <c r="I105" s="32"/>
      <c r="J105" s="32"/>
      <c r="K105" s="32"/>
      <c r="L105" s="32">
        <v>3303.4620964582305</v>
      </c>
      <c r="M105" s="32">
        <v>0.77216098993777771</v>
      </c>
      <c r="N105" s="32">
        <v>0.73260055971326143</v>
      </c>
      <c r="O105" s="32">
        <v>0</v>
      </c>
      <c r="P105" s="32">
        <v>0</v>
      </c>
      <c r="Q105" s="32">
        <v>0</v>
      </c>
      <c r="R105" s="32">
        <v>106.10175862866241</v>
      </c>
      <c r="S105" s="32">
        <v>26.269824236191074</v>
      </c>
      <c r="T105" s="32">
        <v>219.16253596636892</v>
      </c>
      <c r="U105" s="32">
        <v>312.24344498973795</v>
      </c>
      <c r="V105" s="32">
        <v>31.924167796664424</v>
      </c>
      <c r="W105" s="32">
        <v>7.9810419491661042</v>
      </c>
      <c r="X105" s="32">
        <v>66.50868290971755</v>
      </c>
      <c r="Y105" s="32">
        <v>0</v>
      </c>
      <c r="Z105" s="32">
        <v>0</v>
      </c>
      <c r="AA105" s="32">
        <v>0</v>
      </c>
      <c r="AB105" s="32">
        <v>0</v>
      </c>
      <c r="AC105" s="32">
        <v>0</v>
      </c>
      <c r="AD105" s="32">
        <v>0</v>
      </c>
      <c r="AE105" s="32">
        <v>0</v>
      </c>
      <c r="AF105" s="32">
        <v>0</v>
      </c>
      <c r="AG105" s="32">
        <v>-180.63247392019312</v>
      </c>
      <c r="AH105" s="32">
        <v>138.02592642532684</v>
      </c>
      <c r="AI105" s="32">
        <v>34.250866185357175</v>
      </c>
      <c r="AJ105" s="32">
        <v>285.67121887608647</v>
      </c>
      <c r="AK105" s="32">
        <v>131.61097106954483</v>
      </c>
      <c r="AL105" s="32">
        <v>589.55898255631519</v>
      </c>
      <c r="AM105" s="32">
        <v>1584.4139055068827</v>
      </c>
      <c r="AN105" s="32">
        <v>272.84191594680038</v>
      </c>
      <c r="AO105" s="32">
        <v>185.72558214536832</v>
      </c>
      <c r="AP105" s="32">
        <v>0</v>
      </c>
      <c r="AQ105" s="32">
        <v>2042.9814035990512</v>
      </c>
      <c r="AR105" s="32">
        <v>138.02592642532684</v>
      </c>
      <c r="AS105" s="383">
        <v>14.801432285291133</v>
      </c>
      <c r="AT105" s="32">
        <v>1584.4139055068827</v>
      </c>
      <c r="AU105" s="32">
        <v>308.64470129728545</v>
      </c>
      <c r="AV105" s="32">
        <v>189.30586068041683</v>
      </c>
      <c r="AW105" s="32">
        <v>0</v>
      </c>
      <c r="AX105" s="32">
        <v>2082.364467484585</v>
      </c>
      <c r="AY105" s="32">
        <v>34.250866185357175</v>
      </c>
      <c r="AZ105" s="383">
        <v>60.797424982344857</v>
      </c>
      <c r="BA105" s="32">
        <v>1584.4139055068827</v>
      </c>
      <c r="BB105" s="32">
        <v>581.48661724408589</v>
      </c>
      <c r="BC105" s="32">
        <v>216.59005227509687</v>
      </c>
      <c r="BD105" s="32">
        <v>0</v>
      </c>
      <c r="BE105" s="32">
        <v>2382.490575026065</v>
      </c>
      <c r="BF105" s="32">
        <v>172.276792610684</v>
      </c>
      <c r="BG105" s="32">
        <v>-13.939148975778181</v>
      </c>
      <c r="BH105" s="383">
        <v>13.829434243125741</v>
      </c>
      <c r="BI105" s="32">
        <v>3.0744076851963693</v>
      </c>
      <c r="BJ105" s="32">
        <v>0.76290830970704138</v>
      </c>
      <c r="BK105" s="32">
        <v>6.3630783976458618</v>
      </c>
      <c r="BL105" s="32">
        <v>2.9315201237303166</v>
      </c>
      <c r="BM105" s="32">
        <v>13.131914516279585</v>
      </c>
      <c r="BN105" s="32">
        <v>1584.4139055068827</v>
      </c>
      <c r="BO105" s="32">
        <v>0</v>
      </c>
      <c r="BP105" s="32">
        <v>581.48661724408589</v>
      </c>
      <c r="BQ105" s="32">
        <v>0</v>
      </c>
      <c r="BR105" s="32">
        <v>0</v>
      </c>
      <c r="BS105" s="32">
        <v>0</v>
      </c>
      <c r="BT105" s="32">
        <v>0</v>
      </c>
      <c r="BU105" s="32">
        <v>0</v>
      </c>
      <c r="BV105" s="32">
        <v>0</v>
      </c>
      <c r="BW105" s="32">
        <v>216.59005227509687</v>
      </c>
      <c r="BX105" s="32">
        <v>663.77756382096027</v>
      </c>
      <c r="BY105" s="32">
        <v>106.41389265554808</v>
      </c>
      <c r="BZ105" s="32">
        <v>0</v>
      </c>
      <c r="CA105" s="32">
        <v>-180.63247392019312</v>
      </c>
      <c r="CB105" s="32">
        <v>2382.490575026065</v>
      </c>
      <c r="CC105" s="32">
        <v>589.5589825563153</v>
      </c>
      <c r="CD105" s="383">
        <v>3.3279037665155351</v>
      </c>
      <c r="CE105" s="32">
        <v>-4.6445504544020064</v>
      </c>
      <c r="CF105" s="32">
        <v>31.383035165897827</v>
      </c>
      <c r="CG105" s="32">
        <v>0</v>
      </c>
      <c r="CH105" s="32">
        <v>31.383035165897827</v>
      </c>
      <c r="CI105" s="32">
        <v>1.5691444958176588</v>
      </c>
      <c r="CJ105" s="32">
        <v>0</v>
      </c>
      <c r="CK105" s="32">
        <v>1.5691444958176588</v>
      </c>
      <c r="CL105" s="32"/>
      <c r="CM105" s="32">
        <v>0</v>
      </c>
      <c r="CN105" s="32"/>
      <c r="CO105" s="32">
        <v>0</v>
      </c>
      <c r="CP105" s="32">
        <v>0</v>
      </c>
      <c r="CQ105" s="32">
        <v>0</v>
      </c>
      <c r="CR105" s="32">
        <v>0</v>
      </c>
      <c r="CS105" s="32">
        <v>0</v>
      </c>
      <c r="CT105" s="32">
        <v>0</v>
      </c>
      <c r="CU105" s="32">
        <v>285.67121887608647</v>
      </c>
      <c r="CV105" s="32">
        <v>9999</v>
      </c>
      <c r="CW105" s="384">
        <v>0</v>
      </c>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row>
    <row r="106" spans="1:131">
      <c r="A106" s="11" t="s">
        <v>846</v>
      </c>
      <c r="B106" s="11"/>
      <c r="C106" s="32">
        <v>16.279069767441861</v>
      </c>
      <c r="D106" s="32">
        <v>666.5</v>
      </c>
      <c r="E106" s="32">
        <v>0</v>
      </c>
      <c r="F106" s="32">
        <v>162.01157721295672</v>
      </c>
      <c r="G106" s="32">
        <v>0</v>
      </c>
      <c r="H106" s="32">
        <v>-157.90429063834037</v>
      </c>
      <c r="I106" s="32"/>
      <c r="J106" s="32"/>
      <c r="K106" s="32"/>
      <c r="L106" s="32">
        <v>754.1040131826594</v>
      </c>
      <c r="M106" s="32">
        <v>0.1762664999121584</v>
      </c>
      <c r="N106" s="32">
        <v>0.16723576841760757</v>
      </c>
      <c r="O106" s="32">
        <v>0</v>
      </c>
      <c r="P106" s="32">
        <v>0</v>
      </c>
      <c r="Q106" s="32">
        <v>0</v>
      </c>
      <c r="R106" s="32">
        <v>32.307272728269702</v>
      </c>
      <c r="S106" s="32">
        <v>7.998985003563023</v>
      </c>
      <c r="T106" s="32">
        <v>66.733519903900572</v>
      </c>
      <c r="U106" s="32">
        <v>95.076031399283835</v>
      </c>
      <c r="V106" s="32">
        <v>9.7206946327774038</v>
      </c>
      <c r="W106" s="32">
        <v>2.4301736581943505</v>
      </c>
      <c r="X106" s="32">
        <v>20.25144715161959</v>
      </c>
      <c r="Y106" s="32">
        <v>0</v>
      </c>
      <c r="Z106" s="32">
        <v>0</v>
      </c>
      <c r="AA106" s="32">
        <v>0</v>
      </c>
      <c r="AB106" s="32">
        <v>0</v>
      </c>
      <c r="AC106" s="32">
        <v>0</v>
      </c>
      <c r="AD106" s="32">
        <v>0</v>
      </c>
      <c r="AE106" s="32">
        <v>0</v>
      </c>
      <c r="AF106" s="32">
        <v>0</v>
      </c>
      <c r="AG106" s="32">
        <v>-157.90429063834037</v>
      </c>
      <c r="AH106" s="32">
        <v>42.027967361047104</v>
      </c>
      <c r="AI106" s="32">
        <v>10.429158661757373</v>
      </c>
      <c r="AJ106" s="32">
        <v>86.984967055520158</v>
      </c>
      <c r="AK106" s="32">
        <v>-62.828259239056536</v>
      </c>
      <c r="AL106" s="32">
        <v>76.613833839268096</v>
      </c>
      <c r="AM106" s="32">
        <v>361.68505943087922</v>
      </c>
      <c r="AN106" s="32">
        <v>62.283500694777707</v>
      </c>
      <c r="AO106" s="32">
        <v>42.396856012565692</v>
      </c>
      <c r="AP106" s="32">
        <v>0</v>
      </c>
      <c r="AQ106" s="32">
        <v>466.36541613822266</v>
      </c>
      <c r="AR106" s="32">
        <v>42.027967361047104</v>
      </c>
      <c r="AS106" s="383">
        <v>11.096549403206813</v>
      </c>
      <c r="AT106" s="32">
        <v>361.68505943087922</v>
      </c>
      <c r="AU106" s="32">
        <v>70.456448749748532</v>
      </c>
      <c r="AV106" s="32">
        <v>43.214150818062777</v>
      </c>
      <c r="AW106" s="32">
        <v>0</v>
      </c>
      <c r="AX106" s="32">
        <v>475.3556589986905</v>
      </c>
      <c r="AY106" s="32">
        <v>10.429158661757373</v>
      </c>
      <c r="AZ106" s="383">
        <v>45.579482910905327</v>
      </c>
      <c r="BA106" s="32">
        <v>361.68505943087922</v>
      </c>
      <c r="BB106" s="32">
        <v>132.73994944452625</v>
      </c>
      <c r="BC106" s="32">
        <v>49.442500887540547</v>
      </c>
      <c r="BD106" s="32">
        <v>0</v>
      </c>
      <c r="BE106" s="32">
        <v>543.86750976294604</v>
      </c>
      <c r="BF106" s="32">
        <v>52.457126022804474</v>
      </c>
      <c r="BG106" s="32">
        <v>-12.657957334477748</v>
      </c>
      <c r="BH106" s="383">
        <v>10.367848012232175</v>
      </c>
      <c r="BI106" s="32">
        <v>4.1008817711082326</v>
      </c>
      <c r="BJ106" s="32">
        <v>1.0176258650956271</v>
      </c>
      <c r="BK106" s="32">
        <v>8.4875640711819891</v>
      </c>
      <c r="BL106" s="32">
        <v>-6.1304716645114015</v>
      </c>
      <c r="BM106" s="32">
        <v>7.4756000428744462</v>
      </c>
      <c r="BN106" s="32">
        <v>361.68505943087922</v>
      </c>
      <c r="BO106" s="32">
        <v>0</v>
      </c>
      <c r="BP106" s="32">
        <v>132.73994944452625</v>
      </c>
      <c r="BQ106" s="32">
        <v>0</v>
      </c>
      <c r="BR106" s="32">
        <v>0</v>
      </c>
      <c r="BS106" s="32">
        <v>0</v>
      </c>
      <c r="BT106" s="32">
        <v>0</v>
      </c>
      <c r="BU106" s="32">
        <v>0</v>
      </c>
      <c r="BV106" s="32">
        <v>0</v>
      </c>
      <c r="BW106" s="32">
        <v>49.442500887540547</v>
      </c>
      <c r="BX106" s="32">
        <v>202.11580903501712</v>
      </c>
      <c r="BY106" s="32">
        <v>32.402315442591345</v>
      </c>
      <c r="BZ106" s="32">
        <v>0</v>
      </c>
      <c r="CA106" s="32">
        <v>-157.90429063834037</v>
      </c>
      <c r="CB106" s="32">
        <v>543.86750976294604</v>
      </c>
      <c r="CC106" s="32">
        <v>76.613833839268096</v>
      </c>
      <c r="CD106" s="383">
        <v>2.9923989967278231</v>
      </c>
      <c r="CE106" s="32">
        <v>-10.300864927807163</v>
      </c>
      <c r="CF106" s="32">
        <v>7.1640212823477789</v>
      </c>
      <c r="CG106" s="32">
        <v>0</v>
      </c>
      <c r="CH106" s="32">
        <v>7.1640212823477789</v>
      </c>
      <c r="CI106" s="32">
        <v>0.35819940626176316</v>
      </c>
      <c r="CJ106" s="32">
        <v>0</v>
      </c>
      <c r="CK106" s="32">
        <v>0.35819940626176316</v>
      </c>
      <c r="CL106" s="32"/>
      <c r="CM106" s="32">
        <v>0</v>
      </c>
      <c r="CN106" s="32"/>
      <c r="CO106" s="32">
        <v>0</v>
      </c>
      <c r="CP106" s="32">
        <v>0</v>
      </c>
      <c r="CQ106" s="32">
        <v>0</v>
      </c>
      <c r="CR106" s="32">
        <v>0</v>
      </c>
      <c r="CS106" s="32">
        <v>0</v>
      </c>
      <c r="CT106" s="32">
        <v>0</v>
      </c>
      <c r="CU106" s="32">
        <v>86.984967055520158</v>
      </c>
      <c r="CV106" s="32">
        <v>9999</v>
      </c>
      <c r="CW106" s="384">
        <v>0</v>
      </c>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row>
    <row r="107" spans="1:131">
      <c r="A107" s="11" t="s">
        <v>531</v>
      </c>
      <c r="B107" s="11"/>
      <c r="C107" s="32">
        <v>16.279069767441861</v>
      </c>
      <c r="D107" s="32">
        <v>339.69999999999993</v>
      </c>
      <c r="E107" s="32">
        <v>0</v>
      </c>
      <c r="F107" s="32">
        <v>113.40810404906972</v>
      </c>
      <c r="G107" s="32">
        <v>0</v>
      </c>
      <c r="H107" s="32">
        <v>-151.98287973940262</v>
      </c>
      <c r="I107" s="32"/>
      <c r="J107" s="32"/>
      <c r="K107" s="32"/>
      <c r="L107" s="32">
        <v>384.34978736406504</v>
      </c>
      <c r="M107" s="32">
        <v>8.9839054793938777E-2</v>
      </c>
      <c r="N107" s="32">
        <v>8.523629487090964E-2</v>
      </c>
      <c r="O107" s="32">
        <v>0</v>
      </c>
      <c r="P107" s="32">
        <v>0</v>
      </c>
      <c r="Q107" s="32">
        <v>0</v>
      </c>
      <c r="R107" s="32">
        <v>22.61509090978879</v>
      </c>
      <c r="S107" s="32">
        <v>5.5992895024941172</v>
      </c>
      <c r="T107" s="32">
        <v>46.713463932730413</v>
      </c>
      <c r="U107" s="32">
        <v>66.553221979498687</v>
      </c>
      <c r="V107" s="32">
        <v>6.8044862429441837</v>
      </c>
      <c r="W107" s="32">
        <v>1.7011215607360455</v>
      </c>
      <c r="X107" s="32">
        <v>14.176013006133715</v>
      </c>
      <c r="Y107" s="32">
        <v>0</v>
      </c>
      <c r="Z107" s="32">
        <v>0</v>
      </c>
      <c r="AA107" s="32">
        <v>0</v>
      </c>
      <c r="AB107" s="32">
        <v>0</v>
      </c>
      <c r="AC107" s="32">
        <v>0</v>
      </c>
      <c r="AD107" s="32">
        <v>0</v>
      </c>
      <c r="AE107" s="32">
        <v>0</v>
      </c>
      <c r="AF107" s="32">
        <v>0</v>
      </c>
      <c r="AG107" s="32">
        <v>-151.98287973940262</v>
      </c>
      <c r="AH107" s="32">
        <v>29.419577152732973</v>
      </c>
      <c r="AI107" s="32">
        <v>7.3004110632301629</v>
      </c>
      <c r="AJ107" s="32">
        <v>60.889476938864128</v>
      </c>
      <c r="AK107" s="32">
        <v>-85.429657759903932</v>
      </c>
      <c r="AL107" s="32">
        <v>12.179807394923326</v>
      </c>
      <c r="AM107" s="32">
        <v>184.34270770993186</v>
      </c>
      <c r="AN107" s="32">
        <v>31.744493902499592</v>
      </c>
      <c r="AO107" s="32">
        <v>21.608720161243145</v>
      </c>
      <c r="AP107" s="32">
        <v>0</v>
      </c>
      <c r="AQ107" s="32">
        <v>237.6959217736746</v>
      </c>
      <c r="AR107" s="32">
        <v>29.419577152732973</v>
      </c>
      <c r="AS107" s="383">
        <v>8.0795152336713141</v>
      </c>
      <c r="AT107" s="32">
        <v>184.34270770993186</v>
      </c>
      <c r="AU107" s="32">
        <v>35.910060975678277</v>
      </c>
      <c r="AV107" s="32">
        <v>22.025276868561015</v>
      </c>
      <c r="AW107" s="32">
        <v>0</v>
      </c>
      <c r="AX107" s="32">
        <v>242.27804555417114</v>
      </c>
      <c r="AY107" s="32">
        <v>7.3004110632301629</v>
      </c>
      <c r="AZ107" s="383">
        <v>33.186904607940257</v>
      </c>
      <c r="BA107" s="32">
        <v>184.34270770993186</v>
      </c>
      <c r="BB107" s="32">
        <v>67.654554878177862</v>
      </c>
      <c r="BC107" s="32">
        <v>25.199726258810973</v>
      </c>
      <c r="BD107" s="32">
        <v>0</v>
      </c>
      <c r="BE107" s="32">
        <v>277.1969888469207</v>
      </c>
      <c r="BF107" s="32">
        <v>36.719988215963134</v>
      </c>
      <c r="BG107" s="32">
        <v>-10.746615875388958</v>
      </c>
      <c r="BH107" s="383">
        <v>7.5489400273395502</v>
      </c>
      <c r="BI107" s="32">
        <v>5.6322236982942187</v>
      </c>
      <c r="BJ107" s="32">
        <v>1.3976253969984249</v>
      </c>
      <c r="BK107" s="32">
        <v>11.656970907889194</v>
      </c>
      <c r="BL107" s="32">
        <v>-16.355059777866234</v>
      </c>
      <c r="BM107" s="32">
        <v>2.3317602253156005</v>
      </c>
      <c r="BN107" s="32">
        <v>184.34270770993186</v>
      </c>
      <c r="BO107" s="32">
        <v>0</v>
      </c>
      <c r="BP107" s="32">
        <v>67.654554878177862</v>
      </c>
      <c r="BQ107" s="32">
        <v>0</v>
      </c>
      <c r="BR107" s="32">
        <v>0</v>
      </c>
      <c r="BS107" s="32">
        <v>0</v>
      </c>
      <c r="BT107" s="32">
        <v>0</v>
      </c>
      <c r="BU107" s="32">
        <v>0</v>
      </c>
      <c r="BV107" s="32">
        <v>0</v>
      </c>
      <c r="BW107" s="32">
        <v>25.199726258810973</v>
      </c>
      <c r="BX107" s="32">
        <v>141.481066324512</v>
      </c>
      <c r="BY107" s="32">
        <v>22.681620809813946</v>
      </c>
      <c r="BZ107" s="32">
        <v>0</v>
      </c>
      <c r="CA107" s="32">
        <v>-151.98287973940262</v>
      </c>
      <c r="CB107" s="32">
        <v>277.1969888469207</v>
      </c>
      <c r="CC107" s="32">
        <v>12.179807394923326</v>
      </c>
      <c r="CD107" s="383">
        <v>2.6143569898752164</v>
      </c>
      <c r="CE107" s="32">
        <v>-15.444704745365998</v>
      </c>
      <c r="CF107" s="32">
        <v>3.6513398793901684</v>
      </c>
      <c r="CG107" s="32">
        <v>0</v>
      </c>
      <c r="CH107" s="32">
        <v>3.6513398793901684</v>
      </c>
      <c r="CI107" s="32">
        <v>0.18256614899793089</v>
      </c>
      <c r="CJ107" s="32">
        <v>0</v>
      </c>
      <c r="CK107" s="32">
        <v>0.18256614899793089</v>
      </c>
      <c r="CL107" s="32"/>
      <c r="CM107" s="32">
        <v>0</v>
      </c>
      <c r="CN107" s="32"/>
      <c r="CO107" s="32">
        <v>0</v>
      </c>
      <c r="CP107" s="32">
        <v>0</v>
      </c>
      <c r="CQ107" s="32">
        <v>0</v>
      </c>
      <c r="CR107" s="32">
        <v>0</v>
      </c>
      <c r="CS107" s="32">
        <v>0</v>
      </c>
      <c r="CT107" s="32">
        <v>0</v>
      </c>
      <c r="CU107" s="32">
        <v>60.889476938864128</v>
      </c>
      <c r="CV107" s="32">
        <v>9999</v>
      </c>
      <c r="CW107" s="384">
        <v>0</v>
      </c>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row>
    <row r="108" spans="1:131">
      <c r="A108" s="11" t="s">
        <v>957</v>
      </c>
      <c r="B108" s="11"/>
      <c r="C108" s="32">
        <v>16.279069767441861</v>
      </c>
      <c r="D108" s="32">
        <v>1195.4000000000001</v>
      </c>
      <c r="E108" s="32">
        <v>0</v>
      </c>
      <c r="F108" s="32">
        <v>324.02315442591345</v>
      </c>
      <c r="G108" s="32">
        <v>0</v>
      </c>
      <c r="H108" s="32">
        <v>-176.38229806324742</v>
      </c>
      <c r="I108" s="32"/>
      <c r="J108" s="32"/>
      <c r="K108" s="32"/>
      <c r="L108" s="32">
        <v>1352.5220365469634</v>
      </c>
      <c r="M108" s="32">
        <v>0.3161424966166454</v>
      </c>
      <c r="N108" s="32">
        <v>0.29994544271028972</v>
      </c>
      <c r="O108" s="32">
        <v>0</v>
      </c>
      <c r="P108" s="32">
        <v>0</v>
      </c>
      <c r="Q108" s="32">
        <v>0</v>
      </c>
      <c r="R108" s="32">
        <v>64.614545456539403</v>
      </c>
      <c r="S108" s="32">
        <v>15.997970007126046</v>
      </c>
      <c r="T108" s="32">
        <v>133.46703980780114</v>
      </c>
      <c r="U108" s="32">
        <v>190.15206279856767</v>
      </c>
      <c r="V108" s="32">
        <v>19.441389265554808</v>
      </c>
      <c r="W108" s="32">
        <v>4.860347316388701</v>
      </c>
      <c r="X108" s="32">
        <v>40.502894303239181</v>
      </c>
      <c r="Y108" s="32">
        <v>0</v>
      </c>
      <c r="Z108" s="32">
        <v>0</v>
      </c>
      <c r="AA108" s="32">
        <v>0</v>
      </c>
      <c r="AB108" s="32">
        <v>0</v>
      </c>
      <c r="AC108" s="32">
        <v>0</v>
      </c>
      <c r="AD108" s="32">
        <v>0</v>
      </c>
      <c r="AE108" s="32">
        <v>0</v>
      </c>
      <c r="AF108" s="32">
        <v>0</v>
      </c>
      <c r="AG108" s="32">
        <v>-176.38229806324742</v>
      </c>
      <c r="AH108" s="32">
        <v>84.055934722094207</v>
      </c>
      <c r="AI108" s="32">
        <v>20.858317323514747</v>
      </c>
      <c r="AJ108" s="32">
        <v>173.96993411104032</v>
      </c>
      <c r="AK108" s="32">
        <v>13.769764735320251</v>
      </c>
      <c r="AL108" s="32">
        <v>292.65395089196954</v>
      </c>
      <c r="AM108" s="32">
        <v>648.69965497925489</v>
      </c>
      <c r="AN108" s="32">
        <v>111.70847221385941</v>
      </c>
      <c r="AO108" s="32">
        <v>76.040812719311432</v>
      </c>
      <c r="AP108" s="32">
        <v>0</v>
      </c>
      <c r="AQ108" s="32">
        <v>836.44893991242577</v>
      </c>
      <c r="AR108" s="32">
        <v>84.055934722094207</v>
      </c>
      <c r="AS108" s="383">
        <v>9.9510991422306336</v>
      </c>
      <c r="AT108" s="32">
        <v>648.69965497925489</v>
      </c>
      <c r="AU108" s="32">
        <v>126.36705001567803</v>
      </c>
      <c r="AV108" s="32">
        <v>77.506670499493296</v>
      </c>
      <c r="AW108" s="32">
        <v>0</v>
      </c>
      <c r="AX108" s="32">
        <v>852.57337549442627</v>
      </c>
      <c r="AY108" s="32">
        <v>20.858317323514747</v>
      </c>
      <c r="AZ108" s="383">
        <v>40.874504029779651</v>
      </c>
      <c r="BA108" s="32">
        <v>648.69965497925489</v>
      </c>
      <c r="BB108" s="32">
        <v>238.07552222953746</v>
      </c>
      <c r="BC108" s="32">
        <v>88.677517720879237</v>
      </c>
      <c r="BD108" s="32">
        <v>0</v>
      </c>
      <c r="BE108" s="32">
        <v>975.45269492967157</v>
      </c>
      <c r="BF108" s="32">
        <v>104.91425204560895</v>
      </c>
      <c r="BG108" s="32">
        <v>-12.06877659937515</v>
      </c>
      <c r="BH108" s="383">
        <v>9.2976185400017624</v>
      </c>
      <c r="BI108" s="32">
        <v>4.5729257159839998</v>
      </c>
      <c r="BJ108" s="32">
        <v>1.1347626553224619</v>
      </c>
      <c r="BK108" s="32">
        <v>9.4645498635482621</v>
      </c>
      <c r="BL108" s="32">
        <v>0.74912153995289932</v>
      </c>
      <c r="BM108" s="32">
        <v>15.921359774807623</v>
      </c>
      <c r="BN108" s="32">
        <v>648.69965497925489</v>
      </c>
      <c r="BO108" s="32">
        <v>0</v>
      </c>
      <c r="BP108" s="32">
        <v>238.07552222953746</v>
      </c>
      <c r="BQ108" s="32">
        <v>0</v>
      </c>
      <c r="BR108" s="32">
        <v>0</v>
      </c>
      <c r="BS108" s="32">
        <v>0</v>
      </c>
      <c r="BT108" s="32">
        <v>0</v>
      </c>
      <c r="BU108" s="32">
        <v>0</v>
      </c>
      <c r="BV108" s="32">
        <v>0</v>
      </c>
      <c r="BW108" s="32">
        <v>88.677517720879237</v>
      </c>
      <c r="BX108" s="32">
        <v>404.23161807003424</v>
      </c>
      <c r="BY108" s="32">
        <v>64.804630885182689</v>
      </c>
      <c r="BZ108" s="32">
        <v>0</v>
      </c>
      <c r="CA108" s="32">
        <v>-176.38229806324742</v>
      </c>
      <c r="CB108" s="32">
        <v>975.45269492967157</v>
      </c>
      <c r="CC108" s="32">
        <v>292.65395089196954</v>
      </c>
      <c r="CD108" s="383">
        <v>2.4557483468679515</v>
      </c>
      <c r="CE108" s="32">
        <v>-1.8551051958739857</v>
      </c>
      <c r="CF108" s="32">
        <v>12.849018816081845</v>
      </c>
      <c r="CG108" s="32">
        <v>0</v>
      </c>
      <c r="CH108" s="32">
        <v>12.849018816081845</v>
      </c>
      <c r="CI108" s="32">
        <v>0.64244796735980758</v>
      </c>
      <c r="CJ108" s="32">
        <v>0</v>
      </c>
      <c r="CK108" s="32">
        <v>0.64244796735980758</v>
      </c>
      <c r="CL108" s="32"/>
      <c r="CM108" s="32">
        <v>0</v>
      </c>
      <c r="CN108" s="32"/>
      <c r="CO108" s="32">
        <v>0</v>
      </c>
      <c r="CP108" s="32">
        <v>0</v>
      </c>
      <c r="CQ108" s="32">
        <v>0</v>
      </c>
      <c r="CR108" s="32">
        <v>0</v>
      </c>
      <c r="CS108" s="32">
        <v>0</v>
      </c>
      <c r="CT108" s="32">
        <v>0</v>
      </c>
      <c r="CU108" s="32">
        <v>173.96993411104032</v>
      </c>
      <c r="CV108" s="32">
        <v>9999</v>
      </c>
      <c r="CW108" s="384">
        <v>0</v>
      </c>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row>
    <row r="109" spans="1:131">
      <c r="A109" s="11" t="s">
        <v>533</v>
      </c>
      <c r="B109" s="11"/>
      <c r="C109" s="32">
        <v>16.279069767441861</v>
      </c>
      <c r="D109" s="32">
        <v>270.89999999999998</v>
      </c>
      <c r="E109" s="32">
        <v>0</v>
      </c>
      <c r="F109" s="32">
        <v>113.40810404906972</v>
      </c>
      <c r="G109" s="32">
        <v>0</v>
      </c>
      <c r="H109" s="32">
        <v>-151.98287973940262</v>
      </c>
      <c r="I109" s="32"/>
      <c r="J109" s="32"/>
      <c r="K109" s="32"/>
      <c r="L109" s="32">
        <v>306.50679245488732</v>
      </c>
      <c r="M109" s="32">
        <v>7.1643803190103078E-2</v>
      </c>
      <c r="N109" s="32">
        <v>6.7973247808446935E-2</v>
      </c>
      <c r="O109" s="32">
        <v>0</v>
      </c>
      <c r="P109" s="32">
        <v>0</v>
      </c>
      <c r="Q109" s="32">
        <v>0</v>
      </c>
      <c r="R109" s="32">
        <v>22.61509090978879</v>
      </c>
      <c r="S109" s="32">
        <v>5.5992895024941172</v>
      </c>
      <c r="T109" s="32">
        <v>46.713463932730413</v>
      </c>
      <c r="U109" s="32">
        <v>66.553221979498687</v>
      </c>
      <c r="V109" s="32">
        <v>6.8044862429441837</v>
      </c>
      <c r="W109" s="32">
        <v>1.7011215607360455</v>
      </c>
      <c r="X109" s="32">
        <v>14.176013006133715</v>
      </c>
      <c r="Y109" s="32">
        <v>0</v>
      </c>
      <c r="Z109" s="32">
        <v>0</v>
      </c>
      <c r="AA109" s="32">
        <v>0</v>
      </c>
      <c r="AB109" s="32">
        <v>0</v>
      </c>
      <c r="AC109" s="32">
        <v>0</v>
      </c>
      <c r="AD109" s="32">
        <v>0</v>
      </c>
      <c r="AE109" s="32">
        <v>0</v>
      </c>
      <c r="AF109" s="32">
        <v>0</v>
      </c>
      <c r="AG109" s="32">
        <v>-151.98287973940262</v>
      </c>
      <c r="AH109" s="32">
        <v>29.419577152732973</v>
      </c>
      <c r="AI109" s="32">
        <v>7.3004110632301629</v>
      </c>
      <c r="AJ109" s="32">
        <v>60.889476938864128</v>
      </c>
      <c r="AK109" s="32">
        <v>-85.429657759903932</v>
      </c>
      <c r="AL109" s="32">
        <v>12.179807394923326</v>
      </c>
      <c r="AM109" s="32">
        <v>147.00747576868</v>
      </c>
      <c r="AN109" s="32">
        <v>25.315229314651578</v>
      </c>
      <c r="AO109" s="32">
        <v>17.232270508333158</v>
      </c>
      <c r="AP109" s="32">
        <v>0</v>
      </c>
      <c r="AQ109" s="32">
        <v>189.55497559166474</v>
      </c>
      <c r="AR109" s="32">
        <v>29.419577152732973</v>
      </c>
      <c r="AS109" s="383">
        <v>6.4431577179910544</v>
      </c>
      <c r="AT109" s="32">
        <v>147.00747576868</v>
      </c>
      <c r="AU109" s="32">
        <v>28.637137233768751</v>
      </c>
      <c r="AV109" s="32">
        <v>17.564461300244876</v>
      </c>
      <c r="AW109" s="32">
        <v>0</v>
      </c>
      <c r="AX109" s="32">
        <v>193.20907430269364</v>
      </c>
      <c r="AY109" s="32">
        <v>7.3004110632301629</v>
      </c>
      <c r="AZ109" s="383">
        <v>26.465506206332133</v>
      </c>
      <c r="BA109" s="32">
        <v>147.00747576868</v>
      </c>
      <c r="BB109" s="32">
        <v>53.952366548420329</v>
      </c>
      <c r="BC109" s="32">
        <v>20.095984231710034</v>
      </c>
      <c r="BD109" s="32">
        <v>0</v>
      </c>
      <c r="BE109" s="32">
        <v>221.05582654881039</v>
      </c>
      <c r="BF109" s="32">
        <v>36.719988215963134</v>
      </c>
      <c r="BG109" s="32">
        <v>-8.9612573749971869</v>
      </c>
      <c r="BH109" s="383">
        <v>6.0200407812961023</v>
      </c>
      <c r="BI109" s="32">
        <v>7.0626297169086243</v>
      </c>
      <c r="BJ109" s="32">
        <v>1.7525778787758028</v>
      </c>
      <c r="BK109" s="32">
        <v>14.617471455924544</v>
      </c>
      <c r="BL109" s="32">
        <v>-20.508725753197343</v>
      </c>
      <c r="BM109" s="32">
        <v>2.9239532984116261</v>
      </c>
      <c r="BN109" s="32">
        <v>147.00747576868</v>
      </c>
      <c r="BO109" s="32">
        <v>0</v>
      </c>
      <c r="BP109" s="32">
        <v>53.952366548420329</v>
      </c>
      <c r="BQ109" s="32">
        <v>0</v>
      </c>
      <c r="BR109" s="32">
        <v>0</v>
      </c>
      <c r="BS109" s="32">
        <v>0</v>
      </c>
      <c r="BT109" s="32">
        <v>0</v>
      </c>
      <c r="BU109" s="32">
        <v>0</v>
      </c>
      <c r="BV109" s="32">
        <v>0</v>
      </c>
      <c r="BW109" s="32">
        <v>20.095984231710034</v>
      </c>
      <c r="BX109" s="32">
        <v>141.481066324512</v>
      </c>
      <c r="BY109" s="32">
        <v>22.681620809813946</v>
      </c>
      <c r="BZ109" s="32">
        <v>0</v>
      </c>
      <c r="CA109" s="32">
        <v>-151.98287973940262</v>
      </c>
      <c r="CB109" s="32">
        <v>221.05582654881036</v>
      </c>
      <c r="CC109" s="32">
        <v>12.179807394923326</v>
      </c>
      <c r="CD109" s="383">
        <v>2.2723720767495381</v>
      </c>
      <c r="CE109" s="32">
        <v>-14.852511672269978</v>
      </c>
      <c r="CF109" s="32">
        <v>2.9118280050832959</v>
      </c>
      <c r="CG109" s="32">
        <v>0</v>
      </c>
      <c r="CH109" s="32">
        <v>2.9118280050832959</v>
      </c>
      <c r="CI109" s="32">
        <v>0.14559072641607146</v>
      </c>
      <c r="CJ109" s="32">
        <v>0</v>
      </c>
      <c r="CK109" s="32">
        <v>0.14559072641607146</v>
      </c>
      <c r="CL109" s="32"/>
      <c r="CM109" s="32">
        <v>0</v>
      </c>
      <c r="CN109" s="32"/>
      <c r="CO109" s="32">
        <v>0</v>
      </c>
      <c r="CP109" s="32">
        <v>0</v>
      </c>
      <c r="CQ109" s="32">
        <v>0</v>
      </c>
      <c r="CR109" s="32">
        <v>0</v>
      </c>
      <c r="CS109" s="32">
        <v>0</v>
      </c>
      <c r="CT109" s="32">
        <v>0</v>
      </c>
      <c r="CU109" s="32">
        <v>60.889476938864128</v>
      </c>
      <c r="CV109" s="32">
        <v>9999</v>
      </c>
      <c r="CW109" s="384">
        <v>0</v>
      </c>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row>
    <row r="110" spans="1:131">
      <c r="A110" s="11" t="s">
        <v>875</v>
      </c>
      <c r="B110" s="11"/>
      <c r="C110" s="32">
        <v>16.279069767441861</v>
      </c>
      <c r="D110" s="32">
        <v>2919.7</v>
      </c>
      <c r="E110" s="32">
        <v>0</v>
      </c>
      <c r="F110" s="32">
        <v>972.0694632777404</v>
      </c>
      <c r="G110" s="32">
        <v>-56</v>
      </c>
      <c r="H110" s="32">
        <v>0</v>
      </c>
      <c r="I110" s="32"/>
      <c r="J110" s="32"/>
      <c r="K110" s="32"/>
      <c r="L110" s="32">
        <v>3303.4620964582305</v>
      </c>
      <c r="M110" s="32">
        <v>0.77216098993777771</v>
      </c>
      <c r="N110" s="32">
        <v>0.73260055971326143</v>
      </c>
      <c r="O110" s="32">
        <v>0</v>
      </c>
      <c r="P110" s="32">
        <v>0</v>
      </c>
      <c r="Q110" s="32">
        <v>0</v>
      </c>
      <c r="R110" s="32">
        <v>193.8436363696182</v>
      </c>
      <c r="S110" s="32">
        <v>47.993910021378142</v>
      </c>
      <c r="T110" s="32">
        <v>400.40111942340354</v>
      </c>
      <c r="U110" s="32">
        <v>570.45618839570307</v>
      </c>
      <c r="V110" s="32">
        <v>58.324167796664426</v>
      </c>
      <c r="W110" s="32">
        <v>14.581041949166103</v>
      </c>
      <c r="X110" s="32">
        <v>121.50868290971755</v>
      </c>
      <c r="Y110" s="32">
        <v>0</v>
      </c>
      <c r="Z110" s="32">
        <v>0</v>
      </c>
      <c r="AA110" s="32">
        <v>0</v>
      </c>
      <c r="AB110" s="32">
        <v>0</v>
      </c>
      <c r="AC110" s="32">
        <v>-761.05827531819057</v>
      </c>
      <c r="AD110" s="32">
        <v>0</v>
      </c>
      <c r="AE110" s="32">
        <v>0</v>
      </c>
      <c r="AF110" s="32">
        <v>0</v>
      </c>
      <c r="AG110" s="32">
        <v>0</v>
      </c>
      <c r="AH110" s="32">
        <v>252.16780416628262</v>
      </c>
      <c r="AI110" s="32">
        <v>62.574951970544248</v>
      </c>
      <c r="AJ110" s="32">
        <v>521.90980233312109</v>
      </c>
      <c r="AK110" s="32">
        <v>-190.6020869224875</v>
      </c>
      <c r="AL110" s="32">
        <v>646.05047154746046</v>
      </c>
      <c r="AM110" s="32">
        <v>1584.4139055068827</v>
      </c>
      <c r="AN110" s="32">
        <v>272.84191594680038</v>
      </c>
      <c r="AO110" s="32">
        <v>185.72558214536832</v>
      </c>
      <c r="AP110" s="32">
        <v>0</v>
      </c>
      <c r="AQ110" s="32">
        <v>2042.9814035990512</v>
      </c>
      <c r="AR110" s="32">
        <v>252.16780416628262</v>
      </c>
      <c r="AS110" s="383">
        <v>8.1016742416961502</v>
      </c>
      <c r="AT110" s="32">
        <v>1584.4139055068827</v>
      </c>
      <c r="AU110" s="32">
        <v>308.64470129728545</v>
      </c>
      <c r="AV110" s="32">
        <v>189.30586068041683</v>
      </c>
      <c r="AW110" s="32">
        <v>0</v>
      </c>
      <c r="AX110" s="32">
        <v>2082.364467484585</v>
      </c>
      <c r="AY110" s="32">
        <v>62.574951970544248</v>
      </c>
      <c r="AZ110" s="383">
        <v>33.277923544628706</v>
      </c>
      <c r="BA110" s="32">
        <v>1584.4139055068827</v>
      </c>
      <c r="BB110" s="32">
        <v>581.48661724408589</v>
      </c>
      <c r="BC110" s="32">
        <v>216.59005227509687</v>
      </c>
      <c r="BD110" s="32">
        <v>0</v>
      </c>
      <c r="BE110" s="32">
        <v>2382.490575026065</v>
      </c>
      <c r="BF110" s="32">
        <v>314.74275613682687</v>
      </c>
      <c r="BG110" s="32">
        <v>-10.765843318738163</v>
      </c>
      <c r="BH110" s="383">
        <v>7.569643871296388</v>
      </c>
      <c r="BI110" s="32">
        <v>5.6168189206637056</v>
      </c>
      <c r="BJ110" s="32">
        <v>1.3938027312797252</v>
      </c>
      <c r="BK110" s="32">
        <v>11.625087755816278</v>
      </c>
      <c r="BL110" s="32">
        <v>-4.2454960167645499</v>
      </c>
      <c r="BM110" s="32">
        <v>14.390213390995157</v>
      </c>
      <c r="BN110" s="32">
        <v>1584.4139055068827</v>
      </c>
      <c r="BO110" s="32">
        <v>0</v>
      </c>
      <c r="BP110" s="32">
        <v>581.48661724408589</v>
      </c>
      <c r="BQ110" s="32">
        <v>0</v>
      </c>
      <c r="BR110" s="32">
        <v>0</v>
      </c>
      <c r="BS110" s="32">
        <v>0</v>
      </c>
      <c r="BT110" s="32">
        <v>0</v>
      </c>
      <c r="BU110" s="32">
        <v>0</v>
      </c>
      <c r="BV110" s="32">
        <v>0</v>
      </c>
      <c r="BW110" s="32">
        <v>216.59005227509687</v>
      </c>
      <c r="BX110" s="32">
        <v>1212.6948542101029</v>
      </c>
      <c r="BY110" s="32">
        <v>194.4138926555481</v>
      </c>
      <c r="BZ110" s="32">
        <v>-761.05827531819057</v>
      </c>
      <c r="CA110" s="32">
        <v>0</v>
      </c>
      <c r="CB110" s="32">
        <v>2382.490575026065</v>
      </c>
      <c r="CC110" s="32">
        <v>646.05047154746046</v>
      </c>
      <c r="CD110" s="383">
        <v>2.2340482619744511</v>
      </c>
      <c r="CE110" s="32">
        <v>-3.3862515796864368</v>
      </c>
      <c r="CF110" s="32">
        <v>31.383035165897827</v>
      </c>
      <c r="CG110" s="32">
        <v>0</v>
      </c>
      <c r="CH110" s="32">
        <v>31.383035165897827</v>
      </c>
      <c r="CI110" s="32">
        <v>1.5691444958176588</v>
      </c>
      <c r="CJ110" s="32">
        <v>0</v>
      </c>
      <c r="CK110" s="32">
        <v>1.5691444958176588</v>
      </c>
      <c r="CL110" s="32"/>
      <c r="CM110" s="32">
        <v>0</v>
      </c>
      <c r="CN110" s="32"/>
      <c r="CO110" s="32">
        <v>0</v>
      </c>
      <c r="CP110" s="32">
        <v>0</v>
      </c>
      <c r="CQ110" s="32">
        <v>0</v>
      </c>
      <c r="CR110" s="32">
        <v>0</v>
      </c>
      <c r="CS110" s="32">
        <v>0</v>
      </c>
      <c r="CT110" s="32">
        <v>0</v>
      </c>
      <c r="CU110" s="32">
        <v>521.90980233312109</v>
      </c>
      <c r="CV110" s="32">
        <v>9999</v>
      </c>
      <c r="CW110" s="384">
        <v>0</v>
      </c>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row>
    <row r="111" spans="1:131">
      <c r="A111" s="11" t="s">
        <v>844</v>
      </c>
      <c r="B111" s="11"/>
      <c r="C111" s="32">
        <v>16.279069767441861</v>
      </c>
      <c r="D111" s="32">
        <v>408.5</v>
      </c>
      <c r="E111" s="32">
        <v>0</v>
      </c>
      <c r="F111" s="32">
        <v>162.01157721295672</v>
      </c>
      <c r="G111" s="32">
        <v>0</v>
      </c>
      <c r="H111" s="32">
        <v>-157.90429063834037</v>
      </c>
      <c r="I111" s="32"/>
      <c r="J111" s="32"/>
      <c r="K111" s="32"/>
      <c r="L111" s="32">
        <v>462.19278227324287</v>
      </c>
      <c r="M111" s="32">
        <v>0.10803430639777449</v>
      </c>
      <c r="N111" s="32">
        <v>0.10249934193337237</v>
      </c>
      <c r="O111" s="32">
        <v>0</v>
      </c>
      <c r="P111" s="32">
        <v>0</v>
      </c>
      <c r="Q111" s="32">
        <v>0</v>
      </c>
      <c r="R111" s="32">
        <v>32.307272728269702</v>
      </c>
      <c r="S111" s="32">
        <v>7.998985003563023</v>
      </c>
      <c r="T111" s="32">
        <v>66.733519903900572</v>
      </c>
      <c r="U111" s="32">
        <v>95.076031399283835</v>
      </c>
      <c r="V111" s="32">
        <v>9.7206946327774038</v>
      </c>
      <c r="W111" s="32">
        <v>2.4301736581943505</v>
      </c>
      <c r="X111" s="32">
        <v>20.25144715161959</v>
      </c>
      <c r="Y111" s="32">
        <v>0</v>
      </c>
      <c r="Z111" s="32">
        <v>0</v>
      </c>
      <c r="AA111" s="32">
        <v>0</v>
      </c>
      <c r="AB111" s="32">
        <v>0</v>
      </c>
      <c r="AC111" s="32">
        <v>0</v>
      </c>
      <c r="AD111" s="32">
        <v>0</v>
      </c>
      <c r="AE111" s="32">
        <v>0</v>
      </c>
      <c r="AF111" s="32">
        <v>0</v>
      </c>
      <c r="AG111" s="32">
        <v>-157.90429063834037</v>
      </c>
      <c r="AH111" s="32">
        <v>42.027967361047104</v>
      </c>
      <c r="AI111" s="32">
        <v>10.429158661757373</v>
      </c>
      <c r="AJ111" s="32">
        <v>86.984967055520158</v>
      </c>
      <c r="AK111" s="32">
        <v>-62.828259239056536</v>
      </c>
      <c r="AL111" s="32">
        <v>76.613833839268096</v>
      </c>
      <c r="AM111" s="32">
        <v>221.67793965118409</v>
      </c>
      <c r="AN111" s="32">
        <v>38.173758490347623</v>
      </c>
      <c r="AO111" s="32">
        <v>25.985169814153174</v>
      </c>
      <c r="AP111" s="32">
        <v>0</v>
      </c>
      <c r="AQ111" s="32">
        <v>285.83686795568485</v>
      </c>
      <c r="AR111" s="32">
        <v>42.027967361047104</v>
      </c>
      <c r="AS111" s="383">
        <v>6.8011109245461112</v>
      </c>
      <c r="AT111" s="32">
        <v>221.67793965118409</v>
      </c>
      <c r="AU111" s="32">
        <v>43.182984717587814</v>
      </c>
      <c r="AV111" s="32">
        <v>26.486092436877193</v>
      </c>
      <c r="AW111" s="32">
        <v>0</v>
      </c>
      <c r="AX111" s="32">
        <v>291.3470168056491</v>
      </c>
      <c r="AY111" s="32">
        <v>10.429158661757373</v>
      </c>
      <c r="AZ111" s="383">
        <v>27.935812106683919</v>
      </c>
      <c r="BA111" s="32">
        <v>221.67793965118409</v>
      </c>
      <c r="BB111" s="32">
        <v>81.356743207935438</v>
      </c>
      <c r="BC111" s="32">
        <v>30.303468285911954</v>
      </c>
      <c r="BD111" s="32">
        <v>0</v>
      </c>
      <c r="BE111" s="32">
        <v>333.33815114503147</v>
      </c>
      <c r="BF111" s="32">
        <v>52.457126022804474</v>
      </c>
      <c r="BG111" s="32">
        <v>-9.4252156695068887</v>
      </c>
      <c r="BH111" s="383">
        <v>6.3544874913681078</v>
      </c>
      <c r="BI111" s="32">
        <v>6.6909123633871159</v>
      </c>
      <c r="BJ111" s="32">
        <v>1.6603369377876021</v>
      </c>
      <c r="BK111" s="32">
        <v>13.848130852981141</v>
      </c>
      <c r="BL111" s="32">
        <v>-10.002348505255444</v>
      </c>
      <c r="BM111" s="32">
        <v>12.197031648900413</v>
      </c>
      <c r="BN111" s="32">
        <v>221.67793965118409</v>
      </c>
      <c r="BO111" s="32">
        <v>0</v>
      </c>
      <c r="BP111" s="32">
        <v>81.356743207935438</v>
      </c>
      <c r="BQ111" s="32">
        <v>0</v>
      </c>
      <c r="BR111" s="32">
        <v>0</v>
      </c>
      <c r="BS111" s="32">
        <v>0</v>
      </c>
      <c r="BT111" s="32">
        <v>0</v>
      </c>
      <c r="BU111" s="32">
        <v>0</v>
      </c>
      <c r="BV111" s="32">
        <v>0</v>
      </c>
      <c r="BW111" s="32">
        <v>30.303468285911954</v>
      </c>
      <c r="BX111" s="32">
        <v>202.11580903501712</v>
      </c>
      <c r="BY111" s="32">
        <v>32.402315442591345</v>
      </c>
      <c r="BZ111" s="32">
        <v>0</v>
      </c>
      <c r="CA111" s="32">
        <v>-157.90429063834037</v>
      </c>
      <c r="CB111" s="32">
        <v>333.33815114503147</v>
      </c>
      <c r="CC111" s="32">
        <v>76.613833839268096</v>
      </c>
      <c r="CD111" s="383">
        <v>2.094688599772915</v>
      </c>
      <c r="CE111" s="32">
        <v>-5.5794333217811944</v>
      </c>
      <c r="CF111" s="32">
        <v>4.3908517536970244</v>
      </c>
      <c r="CG111" s="32">
        <v>0</v>
      </c>
      <c r="CH111" s="32">
        <v>4.3908517536970244</v>
      </c>
      <c r="CI111" s="32">
        <v>0.21954157157979032</v>
      </c>
      <c r="CJ111" s="32">
        <v>0</v>
      </c>
      <c r="CK111" s="32">
        <v>0.21954157157979032</v>
      </c>
      <c r="CL111" s="32"/>
      <c r="CM111" s="32">
        <v>0</v>
      </c>
      <c r="CN111" s="32"/>
      <c r="CO111" s="32">
        <v>0</v>
      </c>
      <c r="CP111" s="32">
        <v>0</v>
      </c>
      <c r="CQ111" s="32">
        <v>0</v>
      </c>
      <c r="CR111" s="32">
        <v>0</v>
      </c>
      <c r="CS111" s="32">
        <v>0</v>
      </c>
      <c r="CT111" s="32">
        <v>0</v>
      </c>
      <c r="CU111" s="32">
        <v>86.984967055520158</v>
      </c>
      <c r="CV111" s="32">
        <v>9999</v>
      </c>
      <c r="CW111" s="384">
        <v>0</v>
      </c>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row>
    <row r="112" spans="1:131">
      <c r="A112" s="11" t="s">
        <v>874</v>
      </c>
      <c r="B112" s="11"/>
      <c r="C112" s="32">
        <v>16.279069767441861</v>
      </c>
      <c r="D112" s="32">
        <v>2919.7</v>
      </c>
      <c r="E112" s="32">
        <v>0</v>
      </c>
      <c r="F112" s="32">
        <v>972.0694632777404</v>
      </c>
      <c r="G112" s="32">
        <v>0</v>
      </c>
      <c r="H112" s="32">
        <v>-180.63247392019312</v>
      </c>
      <c r="I112" s="32"/>
      <c r="J112" s="32"/>
      <c r="K112" s="32"/>
      <c r="L112" s="32">
        <v>3303.4620964582305</v>
      </c>
      <c r="M112" s="32">
        <v>0.77216098993777771</v>
      </c>
      <c r="N112" s="32">
        <v>0.73260055971326143</v>
      </c>
      <c r="O112" s="32">
        <v>0</v>
      </c>
      <c r="P112" s="32">
        <v>0</v>
      </c>
      <c r="Q112" s="32">
        <v>0</v>
      </c>
      <c r="R112" s="32">
        <v>193.8436363696182</v>
      </c>
      <c r="S112" s="32">
        <v>47.993910021378142</v>
      </c>
      <c r="T112" s="32">
        <v>400.40111942340354</v>
      </c>
      <c r="U112" s="32">
        <v>570.45618839570307</v>
      </c>
      <c r="V112" s="32">
        <v>58.324167796664426</v>
      </c>
      <c r="W112" s="32">
        <v>14.581041949166103</v>
      </c>
      <c r="X112" s="32">
        <v>121.50868290971755</v>
      </c>
      <c r="Y112" s="32">
        <v>0</v>
      </c>
      <c r="Z112" s="32">
        <v>0</v>
      </c>
      <c r="AA112" s="32">
        <v>0</v>
      </c>
      <c r="AB112" s="32">
        <v>0</v>
      </c>
      <c r="AC112" s="32">
        <v>0</v>
      </c>
      <c r="AD112" s="32">
        <v>0</v>
      </c>
      <c r="AE112" s="32">
        <v>0</v>
      </c>
      <c r="AF112" s="32">
        <v>0</v>
      </c>
      <c r="AG112" s="32">
        <v>-180.63247392019312</v>
      </c>
      <c r="AH112" s="32">
        <v>252.16780416628262</v>
      </c>
      <c r="AI112" s="32">
        <v>62.574951970544248</v>
      </c>
      <c r="AJ112" s="32">
        <v>521.90980233312109</v>
      </c>
      <c r="AK112" s="32">
        <v>389.82371447550997</v>
      </c>
      <c r="AL112" s="32">
        <v>1226.4762729454578</v>
      </c>
      <c r="AM112" s="32">
        <v>1584.4139055068827</v>
      </c>
      <c r="AN112" s="32">
        <v>272.84191594680038</v>
      </c>
      <c r="AO112" s="32">
        <v>185.72558214536832</v>
      </c>
      <c r="AP112" s="32">
        <v>0</v>
      </c>
      <c r="AQ112" s="32">
        <v>2042.9814035990512</v>
      </c>
      <c r="AR112" s="32">
        <v>252.16780416628262</v>
      </c>
      <c r="AS112" s="383">
        <v>8.1016742416961502</v>
      </c>
      <c r="AT112" s="32">
        <v>1584.4139055068827</v>
      </c>
      <c r="AU112" s="32">
        <v>308.64470129728545</v>
      </c>
      <c r="AV112" s="32">
        <v>189.30586068041683</v>
      </c>
      <c r="AW112" s="32">
        <v>0</v>
      </c>
      <c r="AX112" s="32">
        <v>2082.364467484585</v>
      </c>
      <c r="AY112" s="32">
        <v>62.574951970544248</v>
      </c>
      <c r="AZ112" s="383">
        <v>33.277923544628706</v>
      </c>
      <c r="BA112" s="32">
        <v>1584.4139055068827</v>
      </c>
      <c r="BB112" s="32">
        <v>581.48661724408589</v>
      </c>
      <c r="BC112" s="32">
        <v>216.59005227509687</v>
      </c>
      <c r="BD112" s="32">
        <v>0</v>
      </c>
      <c r="BE112" s="32">
        <v>2382.490575026065</v>
      </c>
      <c r="BF112" s="32">
        <v>314.74275613682687</v>
      </c>
      <c r="BG112" s="32">
        <v>-10.765843318738163</v>
      </c>
      <c r="BH112" s="383">
        <v>7.569643871296388</v>
      </c>
      <c r="BI112" s="32">
        <v>5.6168189206637056</v>
      </c>
      <c r="BJ112" s="32">
        <v>1.3938027312797252</v>
      </c>
      <c r="BK112" s="32">
        <v>11.625087755816278</v>
      </c>
      <c r="BL112" s="32">
        <v>8.6829848181000191</v>
      </c>
      <c r="BM112" s="32">
        <v>27.318694225859723</v>
      </c>
      <c r="BN112" s="32">
        <v>1584.4139055068827</v>
      </c>
      <c r="BO112" s="32">
        <v>0</v>
      </c>
      <c r="BP112" s="32">
        <v>581.48661724408589</v>
      </c>
      <c r="BQ112" s="32">
        <v>0</v>
      </c>
      <c r="BR112" s="32">
        <v>0</v>
      </c>
      <c r="BS112" s="32">
        <v>0</v>
      </c>
      <c r="BT112" s="32">
        <v>0</v>
      </c>
      <c r="BU112" s="32">
        <v>0</v>
      </c>
      <c r="BV112" s="32">
        <v>0</v>
      </c>
      <c r="BW112" s="32">
        <v>216.59005227509687</v>
      </c>
      <c r="BX112" s="32">
        <v>1212.6948542101029</v>
      </c>
      <c r="BY112" s="32">
        <v>194.4138926555481</v>
      </c>
      <c r="BZ112" s="32">
        <v>0</v>
      </c>
      <c r="CA112" s="32">
        <v>-180.63247392019312</v>
      </c>
      <c r="CB112" s="32">
        <v>2382.490575026065</v>
      </c>
      <c r="CC112" s="32">
        <v>1226.4762729454578</v>
      </c>
      <c r="CD112" s="383">
        <v>1.8215529216598509</v>
      </c>
      <c r="CE112" s="32">
        <v>9.5422292551781318</v>
      </c>
      <c r="CF112" s="32">
        <v>31.383035165897827</v>
      </c>
      <c r="CG112" s="32">
        <v>0</v>
      </c>
      <c r="CH112" s="32">
        <v>31.383035165897827</v>
      </c>
      <c r="CI112" s="32">
        <v>1.5691444958176588</v>
      </c>
      <c r="CJ112" s="32">
        <v>0</v>
      </c>
      <c r="CK112" s="32">
        <v>1.5691444958176588</v>
      </c>
      <c r="CL112" s="32"/>
      <c r="CM112" s="32">
        <v>0</v>
      </c>
      <c r="CN112" s="32"/>
      <c r="CO112" s="32">
        <v>0</v>
      </c>
      <c r="CP112" s="32">
        <v>0</v>
      </c>
      <c r="CQ112" s="32">
        <v>0</v>
      </c>
      <c r="CR112" s="32">
        <v>0</v>
      </c>
      <c r="CS112" s="32">
        <v>0</v>
      </c>
      <c r="CT112" s="32">
        <v>0</v>
      </c>
      <c r="CU112" s="32">
        <v>521.90980233312109</v>
      </c>
      <c r="CV112" s="32">
        <v>9999</v>
      </c>
      <c r="CW112" s="384">
        <v>0</v>
      </c>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row>
    <row r="113" spans="1:131">
      <c r="A113" s="11"/>
      <c r="B113" s="11"/>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row>
    <row r="114" spans="1:131">
      <c r="A114" s="11"/>
      <c r="B114" s="11"/>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row>
    <row r="115" spans="1:131" ht="13.5" thickBot="1">
      <c r="A115" s="368" t="s">
        <v>613</v>
      </c>
      <c r="B115" s="370"/>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row>
    <row r="116" spans="1:131" ht="13.5" thickBot="1">
      <c r="A116" s="385" t="s">
        <v>614</v>
      </c>
      <c r="B116" s="386"/>
      <c r="C116" s="387"/>
      <c r="D116" s="387"/>
      <c r="E116" s="387"/>
      <c r="F116" s="387"/>
      <c r="G116" s="387"/>
      <c r="H116" s="387"/>
      <c r="I116" s="387"/>
      <c r="J116" s="387"/>
      <c r="K116" s="387"/>
      <c r="L116" s="388"/>
      <c r="M116" s="389"/>
      <c r="N116" s="390" t="s">
        <v>959</v>
      </c>
      <c r="O116" s="387"/>
      <c r="P116" s="387"/>
      <c r="Q116" s="387"/>
      <c r="R116" s="387"/>
      <c r="S116" s="387"/>
      <c r="T116" s="387"/>
      <c r="U116" s="387"/>
      <c r="V116" s="387"/>
      <c r="W116" s="387"/>
      <c r="X116" s="387"/>
      <c r="Y116" s="388"/>
      <c r="Z116" s="389"/>
      <c r="AA116" s="390" t="s">
        <v>960</v>
      </c>
      <c r="AB116" s="387"/>
      <c r="AC116" s="387"/>
      <c r="AD116" s="387"/>
      <c r="AE116" s="387"/>
      <c r="AF116" s="387"/>
      <c r="AG116" s="387"/>
      <c r="AH116" s="387"/>
      <c r="AI116" s="387"/>
      <c r="AJ116" s="387"/>
      <c r="AK116" s="387"/>
      <c r="AL116" s="388"/>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row>
    <row r="117" spans="1:131" ht="102">
      <c r="A117" s="379"/>
      <c r="B117" s="380" t="s">
        <v>615</v>
      </c>
      <c r="C117" s="381" t="s">
        <v>616</v>
      </c>
      <c r="D117" s="381" t="s">
        <v>617</v>
      </c>
      <c r="E117" s="381" t="s">
        <v>618</v>
      </c>
      <c r="F117" s="381" t="s">
        <v>619</v>
      </c>
      <c r="G117" s="381" t="s">
        <v>620</v>
      </c>
      <c r="H117" s="381" t="s">
        <v>621</v>
      </c>
      <c r="I117" s="381" t="s">
        <v>622</v>
      </c>
      <c r="J117" s="381" t="s">
        <v>623</v>
      </c>
      <c r="K117" s="381" t="s">
        <v>372</v>
      </c>
      <c r="L117" s="381" t="s">
        <v>371</v>
      </c>
      <c r="M117" s="381" t="s">
        <v>624</v>
      </c>
      <c r="N117" s="381" t="s">
        <v>625</v>
      </c>
      <c r="O117" s="381" t="s">
        <v>626</v>
      </c>
      <c r="P117" s="381" t="s">
        <v>627</v>
      </c>
      <c r="Q117" s="381" t="s">
        <v>628</v>
      </c>
      <c r="R117" s="381" t="s">
        <v>629</v>
      </c>
      <c r="S117" s="381" t="s">
        <v>630</v>
      </c>
      <c r="T117" s="381" t="s">
        <v>631</v>
      </c>
      <c r="U117" s="381" t="s">
        <v>632</v>
      </c>
      <c r="V117" s="381" t="s">
        <v>633</v>
      </c>
      <c r="W117" s="381" t="s">
        <v>634</v>
      </c>
      <c r="X117" s="381" t="s">
        <v>635</v>
      </c>
      <c r="Y117" s="381" t="s">
        <v>636</v>
      </c>
      <c r="Z117" s="381"/>
      <c r="AA117" s="381" t="s">
        <v>625</v>
      </c>
      <c r="AB117" s="381" t="s">
        <v>626</v>
      </c>
      <c r="AC117" s="381" t="s">
        <v>627</v>
      </c>
      <c r="AD117" s="381" t="s">
        <v>628</v>
      </c>
      <c r="AE117" s="381" t="s">
        <v>629</v>
      </c>
      <c r="AF117" s="381" t="s">
        <v>630</v>
      </c>
      <c r="AG117" s="381" t="s">
        <v>631</v>
      </c>
      <c r="AH117" s="381" t="s">
        <v>632</v>
      </c>
      <c r="AI117" s="381" t="s">
        <v>633</v>
      </c>
      <c r="AJ117" s="381" t="s">
        <v>634</v>
      </c>
      <c r="AK117" s="381" t="s">
        <v>635</v>
      </c>
      <c r="AL117" s="381" t="s">
        <v>636</v>
      </c>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row>
    <row r="118" spans="1:131">
      <c r="A118" s="11"/>
      <c r="B118" s="391" t="s">
        <v>637</v>
      </c>
      <c r="C118" s="392">
        <v>26252.550033120198</v>
      </c>
      <c r="D118" s="392">
        <v>4999.7279209108274</v>
      </c>
      <c r="E118" s="392">
        <v>0</v>
      </c>
      <c r="F118" s="392">
        <v>4999.7279209108274</v>
      </c>
      <c r="G118" s="392">
        <v>-4848.9204769567932</v>
      </c>
      <c r="H118" s="392">
        <v>18933.606985037786</v>
      </c>
      <c r="I118" s="392">
        <v>1668.3185645555882</v>
      </c>
      <c r="J118" s="392">
        <v>-14.290111487198878</v>
      </c>
      <c r="K118" s="392">
        <v>-31.367223028420067</v>
      </c>
      <c r="L118" s="383">
        <v>563.97580588128255</v>
      </c>
      <c r="M118" s="32">
        <v>249.4003796099918</v>
      </c>
      <c r="N118" s="166">
        <v>1090.9221514506457</v>
      </c>
      <c r="O118" s="166">
        <v>802.179955035533</v>
      </c>
      <c r="P118" s="166">
        <v>742.63926017676954</v>
      </c>
      <c r="Q118" s="166">
        <v>424.68292116585849</v>
      </c>
      <c r="R118" s="166">
        <v>341.12209572386297</v>
      </c>
      <c r="S118" s="166">
        <v>264.74557954753232</v>
      </c>
      <c r="T118" s="166">
        <v>277.28613974889367</v>
      </c>
      <c r="U118" s="166">
        <v>402.6515812296056</v>
      </c>
      <c r="V118" s="166">
        <v>507.81168354709274</v>
      </c>
      <c r="W118" s="166">
        <v>827.64820202151441</v>
      </c>
      <c r="X118" s="166">
        <v>964.91739266566549</v>
      </c>
      <c r="Y118" s="166">
        <v>1144.6821108873389</v>
      </c>
      <c r="Z118" s="166"/>
      <c r="AA118" s="166">
        <v>1791.2314765009862</v>
      </c>
      <c r="AB118" s="166">
        <v>1549.549811551248</v>
      </c>
      <c r="AC118" s="166">
        <v>1557.1413067578042</v>
      </c>
      <c r="AD118" s="166">
        <v>1475.4323619626746</v>
      </c>
      <c r="AE118" s="166">
        <v>1358.7326409552784</v>
      </c>
      <c r="AF118" s="166">
        <v>1234.1553208214359</v>
      </c>
      <c r="AG118" s="166">
        <v>1349.2472716740635</v>
      </c>
      <c r="AH118" s="166">
        <v>1458.2003325578621</v>
      </c>
      <c r="AI118" s="166">
        <v>1565.4459205121016</v>
      </c>
      <c r="AJ118" s="166">
        <v>1620.3855037089227</v>
      </c>
      <c r="AK118" s="166">
        <v>1708.3277952118465</v>
      </c>
      <c r="AL118" s="166">
        <v>1793.4112177056531</v>
      </c>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row>
    <row r="119" spans="1:131">
      <c r="A119" s="11"/>
      <c r="B119" s="391" t="s">
        <v>638</v>
      </c>
      <c r="C119" s="392">
        <v>26252.550033120198</v>
      </c>
      <c r="D119" s="392">
        <v>4999.7279209108274</v>
      </c>
      <c r="E119" s="392">
        <v>999.94558418216525</v>
      </c>
      <c r="F119" s="392">
        <v>5999.6735050929929</v>
      </c>
      <c r="G119" s="392">
        <v>-3848.9748927746291</v>
      </c>
      <c r="H119" s="392">
        <v>18933.606985037786</v>
      </c>
      <c r="I119" s="392">
        <v>2001.9822774667059</v>
      </c>
      <c r="J119" s="392">
        <v>-13.239102924820921</v>
      </c>
      <c r="K119" s="392">
        <v>-28.564533528745518</v>
      </c>
      <c r="L119" s="383">
        <v>558.76521877225889</v>
      </c>
      <c r="M119" s="32">
        <v>249.4003796099918</v>
      </c>
      <c r="N119" s="166">
        <v>153.24666249065777</v>
      </c>
      <c r="O119" s="166">
        <v>112.68576833152963</v>
      </c>
      <c r="P119" s="166">
        <v>104.32182342735196</v>
      </c>
      <c r="Q119" s="166">
        <v>59.657089370593148</v>
      </c>
      <c r="R119" s="166">
        <v>47.9189304222921</v>
      </c>
      <c r="S119" s="166">
        <v>37.189983190702264</v>
      </c>
      <c r="T119" s="166">
        <v>38.951611180441319</v>
      </c>
      <c r="U119" s="166">
        <v>56.562249550044669</v>
      </c>
      <c r="V119" s="166">
        <v>71.334554508653866</v>
      </c>
      <c r="W119" s="166">
        <v>116.26340569538695</v>
      </c>
      <c r="X119" s="166">
        <v>135.54621639002494</v>
      </c>
      <c r="Y119" s="166">
        <v>160.79856190745051</v>
      </c>
      <c r="Z119" s="166"/>
      <c r="AA119" s="166">
        <v>251.62221259965673</v>
      </c>
      <c r="AB119" s="166">
        <v>217.6721195618691</v>
      </c>
      <c r="AC119" s="166">
        <v>218.73853048969897</v>
      </c>
      <c r="AD119" s="166">
        <v>207.26051341136161</v>
      </c>
      <c r="AE119" s="166">
        <v>190.86718714679412</v>
      </c>
      <c r="AF119" s="166">
        <v>173.36725967061682</v>
      </c>
      <c r="AG119" s="166">
        <v>189.53473534635657</v>
      </c>
      <c r="AH119" s="166">
        <v>204.83985398051513</v>
      </c>
      <c r="AI119" s="166">
        <v>219.90511633583634</v>
      </c>
      <c r="AJ119" s="166">
        <v>227.62272272263959</v>
      </c>
      <c r="AK119" s="166">
        <v>239.97636559869892</v>
      </c>
      <c r="AL119" s="166">
        <v>251.9284104931217</v>
      </c>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row>
    <row r="120" spans="1:131">
      <c r="A120" s="11"/>
      <c r="B120" s="391" t="s">
        <v>639</v>
      </c>
      <c r="C120" s="393"/>
      <c r="D120" s="393"/>
      <c r="E120" s="393"/>
      <c r="F120" s="393"/>
      <c r="G120" s="393"/>
      <c r="H120" s="393"/>
      <c r="I120" s="393"/>
      <c r="J120" s="393"/>
      <c r="K120" s="393"/>
      <c r="L120" s="384"/>
      <c r="M120" s="394"/>
      <c r="N120" s="394"/>
      <c r="O120" s="394"/>
      <c r="P120" s="394"/>
      <c r="Q120" s="394"/>
      <c r="R120" s="394"/>
      <c r="S120" s="394"/>
      <c r="T120" s="394"/>
      <c r="U120" s="394"/>
      <c r="V120" s="394"/>
      <c r="W120" s="394"/>
      <c r="X120" s="394"/>
      <c r="Y120" s="394"/>
      <c r="Z120" s="394"/>
      <c r="AA120" s="394"/>
      <c r="AB120" s="394"/>
      <c r="AC120" s="394"/>
      <c r="AD120" s="394"/>
      <c r="AE120" s="394"/>
      <c r="AF120" s="394"/>
      <c r="AG120" s="394"/>
      <c r="AH120" s="394"/>
      <c r="AI120" s="394"/>
      <c r="AJ120" s="394"/>
      <c r="AK120" s="394"/>
      <c r="AL120" s="394"/>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row>
    <row r="121" spans="1:131">
      <c r="A121" s="11"/>
      <c r="B121" s="11" t="s">
        <v>640</v>
      </c>
      <c r="C121" s="32">
        <v>22949.087936661967</v>
      </c>
      <c r="D121" s="32">
        <v>4027.6584576330865</v>
      </c>
      <c r="E121" s="32">
        <v>805.53169152661712</v>
      </c>
      <c r="F121" s="32">
        <v>4833.1901491597037</v>
      </c>
      <c r="G121" s="32">
        <v>-5075.4511657200865</v>
      </c>
      <c r="H121" s="32">
        <v>16551.11641001172</v>
      </c>
      <c r="I121" s="32">
        <v>1844.8988397051451</v>
      </c>
      <c r="J121" s="32">
        <v>-13.595122274519925</v>
      </c>
      <c r="K121" s="32">
        <v>-34.049903876484358</v>
      </c>
      <c r="L121" s="383">
        <v>638.93582490169638</v>
      </c>
      <c r="M121" s="32">
        <v>218.01734444409396</v>
      </c>
      <c r="N121" s="166">
        <v>953.64710681851295</v>
      </c>
      <c r="O121" s="166">
        <v>701.2384818203501</v>
      </c>
      <c r="P121" s="166">
        <v>649.19002784540817</v>
      </c>
      <c r="Q121" s="166">
        <v>371.24339124154085</v>
      </c>
      <c r="R121" s="166">
        <v>298.1973546199892</v>
      </c>
      <c r="S121" s="166">
        <v>231.43159724345992</v>
      </c>
      <c r="T121" s="166">
        <v>242.39412920599173</v>
      </c>
      <c r="U121" s="166">
        <v>351.98434185694026</v>
      </c>
      <c r="V121" s="166">
        <v>443.91173300438038</v>
      </c>
      <c r="W121" s="166">
        <v>723.50195866113484</v>
      </c>
      <c r="X121" s="166">
        <v>843.49802468568271</v>
      </c>
      <c r="Y121" s="166">
        <v>1000.6422381496624</v>
      </c>
      <c r="Z121" s="166"/>
      <c r="AA121" s="166">
        <v>1565.8337425231935</v>
      </c>
      <c r="AB121" s="166">
        <v>1354.5638363764338</v>
      </c>
      <c r="AC121" s="166">
        <v>1361.2000637465831</v>
      </c>
      <c r="AD121" s="166">
        <v>1289.7728783131831</v>
      </c>
      <c r="AE121" s="166">
        <v>1187.7579442894826</v>
      </c>
      <c r="AF121" s="166">
        <v>1078.8566805624005</v>
      </c>
      <c r="AG121" s="166">
        <v>1179.4661565023273</v>
      </c>
      <c r="AH121" s="166">
        <v>1274.7092232534169</v>
      </c>
      <c r="AI121" s="166">
        <v>1368.4596751400265</v>
      </c>
      <c r="AJ121" s="166">
        <v>1416.4859935127849</v>
      </c>
      <c r="AK121" s="166">
        <v>1493.362159009318</v>
      </c>
      <c r="AL121" s="166">
        <v>1567.7391982797565</v>
      </c>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row>
    <row r="122" spans="1:131">
      <c r="A122" s="11"/>
      <c r="B122" s="11" t="s">
        <v>641</v>
      </c>
      <c r="C122" s="32">
        <v>3303.4620964582305</v>
      </c>
      <c r="D122" s="32">
        <v>972.0694632777404</v>
      </c>
      <c r="E122" s="32">
        <v>194.4138926555481</v>
      </c>
      <c r="F122" s="32">
        <v>1166.4833559332885</v>
      </c>
      <c r="G122" s="32">
        <v>1226.4762729454578</v>
      </c>
      <c r="H122" s="32">
        <v>2382.490575026065</v>
      </c>
      <c r="I122" s="32">
        <v>3093.2379121077684</v>
      </c>
      <c r="J122" s="32">
        <v>-10.765843318738163</v>
      </c>
      <c r="K122" s="32">
        <v>9.5422292551781318</v>
      </c>
      <c r="L122" s="383">
        <v>1.8215529216598509</v>
      </c>
      <c r="M122" s="32">
        <v>31.383035165897827</v>
      </c>
      <c r="N122" s="166">
        <v>137.27504463213276</v>
      </c>
      <c r="O122" s="166">
        <v>100.94147321518288</v>
      </c>
      <c r="P122" s="166">
        <v>93.449232331361458</v>
      </c>
      <c r="Q122" s="166">
        <v>53.439529924317611</v>
      </c>
      <c r="R122" s="166">
        <v>42.924741103873792</v>
      </c>
      <c r="S122" s="166">
        <v>33.313982304072347</v>
      </c>
      <c r="T122" s="166">
        <v>34.892010542901922</v>
      </c>
      <c r="U122" s="166">
        <v>50.667239372665343</v>
      </c>
      <c r="V122" s="166">
        <v>63.899950542712368</v>
      </c>
      <c r="W122" s="166">
        <v>104.1462433603796</v>
      </c>
      <c r="X122" s="166">
        <v>121.41936797998275</v>
      </c>
      <c r="Y122" s="166">
        <v>144.03987273767663</v>
      </c>
      <c r="Z122" s="166"/>
      <c r="AA122" s="166">
        <v>225.39773397779277</v>
      </c>
      <c r="AB122" s="166">
        <v>194.98597517481414</v>
      </c>
      <c r="AC122" s="166">
        <v>195.9412430112211</v>
      </c>
      <c r="AD122" s="166">
        <v>185.65948364949148</v>
      </c>
      <c r="AE122" s="166">
        <v>170.97469666579579</v>
      </c>
      <c r="AF122" s="166">
        <v>155.29864025903538</v>
      </c>
      <c r="AG122" s="166">
        <v>169.7811151717363</v>
      </c>
      <c r="AH122" s="166">
        <v>183.49110930444562</v>
      </c>
      <c r="AI122" s="166">
        <v>196.98624537207505</v>
      </c>
      <c r="AJ122" s="166">
        <v>203.89951019613758</v>
      </c>
      <c r="AK122" s="166">
        <v>214.96563620252846</v>
      </c>
      <c r="AL122" s="166">
        <v>225.67201942589662</v>
      </c>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row>
    <row r="123" spans="1:131">
      <c r="A123" s="11"/>
      <c r="B123" s="11" t="s">
        <v>642</v>
      </c>
      <c r="C123" s="394">
        <v>0</v>
      </c>
      <c r="D123" s="394">
        <v>0</v>
      </c>
      <c r="E123" s="394">
        <v>0</v>
      </c>
      <c r="F123" s="394">
        <v>0</v>
      </c>
      <c r="G123" s="394">
        <v>0</v>
      </c>
      <c r="H123" s="394">
        <v>0</v>
      </c>
      <c r="I123" s="394">
        <v>0</v>
      </c>
      <c r="J123" s="394">
        <v>0</v>
      </c>
      <c r="K123" s="394">
        <v>0</v>
      </c>
      <c r="L123" s="395">
        <v>0</v>
      </c>
      <c r="M123" s="394">
        <v>0</v>
      </c>
      <c r="N123" s="394">
        <v>0</v>
      </c>
      <c r="O123" s="394">
        <v>0</v>
      </c>
      <c r="P123" s="394">
        <v>0</v>
      </c>
      <c r="Q123" s="394">
        <v>0</v>
      </c>
      <c r="R123" s="394">
        <v>0</v>
      </c>
      <c r="S123" s="394">
        <v>0</v>
      </c>
      <c r="T123" s="394">
        <v>0</v>
      </c>
      <c r="U123" s="394">
        <v>0</v>
      </c>
      <c r="V123" s="394">
        <v>0</v>
      </c>
      <c r="W123" s="394">
        <v>0</v>
      </c>
      <c r="X123" s="394">
        <v>0</v>
      </c>
      <c r="Y123" s="394">
        <v>0</v>
      </c>
      <c r="Z123" s="394"/>
      <c r="AA123" s="394">
        <v>0</v>
      </c>
      <c r="AB123" s="394">
        <v>0</v>
      </c>
      <c r="AC123" s="394">
        <v>0</v>
      </c>
      <c r="AD123" s="394">
        <v>0</v>
      </c>
      <c r="AE123" s="394">
        <v>0</v>
      </c>
      <c r="AF123" s="394">
        <v>0</v>
      </c>
      <c r="AG123" s="394">
        <v>0</v>
      </c>
      <c r="AH123" s="394">
        <v>0</v>
      </c>
      <c r="AI123" s="394">
        <v>0</v>
      </c>
      <c r="AJ123" s="394">
        <v>0</v>
      </c>
      <c r="AK123" s="394">
        <v>0</v>
      </c>
      <c r="AL123" s="394">
        <v>0</v>
      </c>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row>
    <row r="124" spans="1:131">
      <c r="A124" s="11"/>
      <c r="B124" s="11" t="s">
        <v>643</v>
      </c>
      <c r="C124" s="394">
        <v>0</v>
      </c>
      <c r="D124" s="394">
        <v>0</v>
      </c>
      <c r="E124" s="394">
        <v>0</v>
      </c>
      <c r="F124" s="394">
        <v>0</v>
      </c>
      <c r="G124" s="394">
        <v>0</v>
      </c>
      <c r="H124" s="394">
        <v>0</v>
      </c>
      <c r="I124" s="394">
        <v>0</v>
      </c>
      <c r="J124" s="394">
        <v>0</v>
      </c>
      <c r="K124" s="394">
        <v>0</v>
      </c>
      <c r="L124" s="395">
        <v>0</v>
      </c>
      <c r="M124" s="394">
        <v>0</v>
      </c>
      <c r="N124" s="394">
        <v>0</v>
      </c>
      <c r="O124" s="394">
        <v>0</v>
      </c>
      <c r="P124" s="394">
        <v>0</v>
      </c>
      <c r="Q124" s="394">
        <v>0</v>
      </c>
      <c r="R124" s="394">
        <v>0</v>
      </c>
      <c r="S124" s="394">
        <v>0</v>
      </c>
      <c r="T124" s="394">
        <v>0</v>
      </c>
      <c r="U124" s="394">
        <v>0</v>
      </c>
      <c r="V124" s="394">
        <v>0</v>
      </c>
      <c r="W124" s="394">
        <v>0</v>
      </c>
      <c r="X124" s="394">
        <v>0</v>
      </c>
      <c r="Y124" s="394">
        <v>0</v>
      </c>
      <c r="Z124" s="394"/>
      <c r="AA124" s="394">
        <v>0</v>
      </c>
      <c r="AB124" s="394">
        <v>0</v>
      </c>
      <c r="AC124" s="394">
        <v>0</v>
      </c>
      <c r="AD124" s="394">
        <v>0</v>
      </c>
      <c r="AE124" s="394">
        <v>0</v>
      </c>
      <c r="AF124" s="394">
        <v>0</v>
      </c>
      <c r="AG124" s="394">
        <v>0</v>
      </c>
      <c r="AH124" s="394">
        <v>0</v>
      </c>
      <c r="AI124" s="394">
        <v>0</v>
      </c>
      <c r="AJ124" s="394">
        <v>0</v>
      </c>
      <c r="AK124" s="394">
        <v>0</v>
      </c>
      <c r="AL124" s="394">
        <v>0</v>
      </c>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row>
    <row r="125" spans="1:131">
      <c r="A125" s="11"/>
      <c r="B125" s="11" t="s">
        <v>644</v>
      </c>
      <c r="C125" s="394">
        <v>0</v>
      </c>
      <c r="D125" s="394">
        <v>0</v>
      </c>
      <c r="E125" s="394">
        <v>0</v>
      </c>
      <c r="F125" s="394">
        <v>0</v>
      </c>
      <c r="G125" s="394">
        <v>0</v>
      </c>
      <c r="H125" s="394">
        <v>0</v>
      </c>
      <c r="I125" s="394">
        <v>0</v>
      </c>
      <c r="J125" s="394">
        <v>0</v>
      </c>
      <c r="K125" s="394">
        <v>0</v>
      </c>
      <c r="L125" s="395">
        <v>0</v>
      </c>
      <c r="M125" s="394">
        <v>0</v>
      </c>
      <c r="N125" s="394">
        <v>0</v>
      </c>
      <c r="O125" s="394">
        <v>0</v>
      </c>
      <c r="P125" s="394">
        <v>0</v>
      </c>
      <c r="Q125" s="394">
        <v>0</v>
      </c>
      <c r="R125" s="394">
        <v>0</v>
      </c>
      <c r="S125" s="394">
        <v>0</v>
      </c>
      <c r="T125" s="394">
        <v>0</v>
      </c>
      <c r="U125" s="394">
        <v>0</v>
      </c>
      <c r="V125" s="394">
        <v>0</v>
      </c>
      <c r="W125" s="394">
        <v>0</v>
      </c>
      <c r="X125" s="394">
        <v>0</v>
      </c>
      <c r="Y125" s="394">
        <v>0</v>
      </c>
      <c r="Z125" s="394"/>
      <c r="AA125" s="394">
        <v>0</v>
      </c>
      <c r="AB125" s="394">
        <v>0</v>
      </c>
      <c r="AC125" s="394">
        <v>0</v>
      </c>
      <c r="AD125" s="394">
        <v>0</v>
      </c>
      <c r="AE125" s="394">
        <v>0</v>
      </c>
      <c r="AF125" s="394">
        <v>0</v>
      </c>
      <c r="AG125" s="394">
        <v>0</v>
      </c>
      <c r="AH125" s="394">
        <v>0</v>
      </c>
      <c r="AI125" s="394">
        <v>0</v>
      </c>
      <c r="AJ125" s="394">
        <v>0</v>
      </c>
      <c r="AK125" s="394">
        <v>0</v>
      </c>
      <c r="AL125" s="394">
        <v>0</v>
      </c>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row>
    <row r="126" spans="1:131">
      <c r="A126" s="11"/>
      <c r="B126" s="11" t="s">
        <v>645</v>
      </c>
      <c r="C126" s="394">
        <v>0</v>
      </c>
      <c r="D126" s="394">
        <v>0</v>
      </c>
      <c r="E126" s="394">
        <v>0</v>
      </c>
      <c r="F126" s="394">
        <v>0</v>
      </c>
      <c r="G126" s="394">
        <v>0</v>
      </c>
      <c r="H126" s="394">
        <v>0</v>
      </c>
      <c r="I126" s="394">
        <v>0</v>
      </c>
      <c r="J126" s="394">
        <v>0</v>
      </c>
      <c r="K126" s="394">
        <v>0</v>
      </c>
      <c r="L126" s="395">
        <v>0</v>
      </c>
      <c r="M126" s="394">
        <v>0</v>
      </c>
      <c r="N126" s="394">
        <v>0</v>
      </c>
      <c r="O126" s="394">
        <v>0</v>
      </c>
      <c r="P126" s="394">
        <v>0</v>
      </c>
      <c r="Q126" s="394">
        <v>0</v>
      </c>
      <c r="R126" s="394">
        <v>0</v>
      </c>
      <c r="S126" s="394">
        <v>0</v>
      </c>
      <c r="T126" s="394">
        <v>0</v>
      </c>
      <c r="U126" s="394">
        <v>0</v>
      </c>
      <c r="V126" s="394">
        <v>0</v>
      </c>
      <c r="W126" s="394">
        <v>0</v>
      </c>
      <c r="X126" s="394">
        <v>0</v>
      </c>
      <c r="Y126" s="394">
        <v>0</v>
      </c>
      <c r="Z126" s="394"/>
      <c r="AA126" s="394">
        <v>0</v>
      </c>
      <c r="AB126" s="394">
        <v>0</v>
      </c>
      <c r="AC126" s="394">
        <v>0</v>
      </c>
      <c r="AD126" s="394">
        <v>0</v>
      </c>
      <c r="AE126" s="394">
        <v>0</v>
      </c>
      <c r="AF126" s="394">
        <v>0</v>
      </c>
      <c r="AG126" s="394">
        <v>0</v>
      </c>
      <c r="AH126" s="394">
        <v>0</v>
      </c>
      <c r="AI126" s="394">
        <v>0</v>
      </c>
      <c r="AJ126" s="394">
        <v>0</v>
      </c>
      <c r="AK126" s="394">
        <v>0</v>
      </c>
      <c r="AL126" s="394">
        <v>0</v>
      </c>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row>
    <row r="127" spans="1:131">
      <c r="A127" s="11"/>
      <c r="B127" s="11" t="s">
        <v>646</v>
      </c>
      <c r="C127" s="394">
        <v>0</v>
      </c>
      <c r="D127" s="394">
        <v>0</v>
      </c>
      <c r="E127" s="394">
        <v>0</v>
      </c>
      <c r="F127" s="394">
        <v>0</v>
      </c>
      <c r="G127" s="394">
        <v>0</v>
      </c>
      <c r="H127" s="394">
        <v>0</v>
      </c>
      <c r="I127" s="394">
        <v>0</v>
      </c>
      <c r="J127" s="394">
        <v>0</v>
      </c>
      <c r="K127" s="394">
        <v>0</v>
      </c>
      <c r="L127" s="395">
        <v>0</v>
      </c>
      <c r="M127" s="394">
        <v>0</v>
      </c>
      <c r="N127" s="394">
        <v>0</v>
      </c>
      <c r="O127" s="394">
        <v>0</v>
      </c>
      <c r="P127" s="394">
        <v>0</v>
      </c>
      <c r="Q127" s="394">
        <v>0</v>
      </c>
      <c r="R127" s="394">
        <v>0</v>
      </c>
      <c r="S127" s="394">
        <v>0</v>
      </c>
      <c r="T127" s="394">
        <v>0</v>
      </c>
      <c r="U127" s="394">
        <v>0</v>
      </c>
      <c r="V127" s="394">
        <v>0</v>
      </c>
      <c r="W127" s="394">
        <v>0</v>
      </c>
      <c r="X127" s="394">
        <v>0</v>
      </c>
      <c r="Y127" s="394">
        <v>0</v>
      </c>
      <c r="Z127" s="394"/>
      <c r="AA127" s="394">
        <v>0</v>
      </c>
      <c r="AB127" s="394">
        <v>0</v>
      </c>
      <c r="AC127" s="394">
        <v>0</v>
      </c>
      <c r="AD127" s="394">
        <v>0</v>
      </c>
      <c r="AE127" s="394">
        <v>0</v>
      </c>
      <c r="AF127" s="394">
        <v>0</v>
      </c>
      <c r="AG127" s="394">
        <v>0</v>
      </c>
      <c r="AH127" s="394">
        <v>0</v>
      </c>
      <c r="AI127" s="394">
        <v>0</v>
      </c>
      <c r="AJ127" s="394">
        <v>0</v>
      </c>
      <c r="AK127" s="394">
        <v>0</v>
      </c>
      <c r="AL127" s="394">
        <v>0</v>
      </c>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row>
    <row r="128" spans="1:131">
      <c r="A128" s="11"/>
      <c r="B128" s="11" t="s">
        <v>647</v>
      </c>
      <c r="C128" s="394">
        <v>0</v>
      </c>
      <c r="D128" s="394">
        <v>0</v>
      </c>
      <c r="E128" s="394">
        <v>0</v>
      </c>
      <c r="F128" s="394">
        <v>0</v>
      </c>
      <c r="G128" s="394">
        <v>0</v>
      </c>
      <c r="H128" s="394">
        <v>0</v>
      </c>
      <c r="I128" s="394">
        <v>0</v>
      </c>
      <c r="J128" s="394">
        <v>0</v>
      </c>
      <c r="K128" s="394">
        <v>0</v>
      </c>
      <c r="L128" s="395">
        <v>0</v>
      </c>
      <c r="M128" s="394">
        <v>0</v>
      </c>
      <c r="N128" s="394">
        <v>0</v>
      </c>
      <c r="O128" s="394">
        <v>0</v>
      </c>
      <c r="P128" s="394">
        <v>0</v>
      </c>
      <c r="Q128" s="394">
        <v>0</v>
      </c>
      <c r="R128" s="394">
        <v>0</v>
      </c>
      <c r="S128" s="394">
        <v>0</v>
      </c>
      <c r="T128" s="394">
        <v>0</v>
      </c>
      <c r="U128" s="394">
        <v>0</v>
      </c>
      <c r="V128" s="394">
        <v>0</v>
      </c>
      <c r="W128" s="394">
        <v>0</v>
      </c>
      <c r="X128" s="394">
        <v>0</v>
      </c>
      <c r="Y128" s="394">
        <v>0</v>
      </c>
      <c r="Z128" s="394"/>
      <c r="AA128" s="394">
        <v>0</v>
      </c>
      <c r="AB128" s="394">
        <v>0</v>
      </c>
      <c r="AC128" s="394">
        <v>0</v>
      </c>
      <c r="AD128" s="394">
        <v>0</v>
      </c>
      <c r="AE128" s="394">
        <v>0</v>
      </c>
      <c r="AF128" s="394">
        <v>0</v>
      </c>
      <c r="AG128" s="394">
        <v>0</v>
      </c>
      <c r="AH128" s="394">
        <v>0</v>
      </c>
      <c r="AI128" s="394">
        <v>0</v>
      </c>
      <c r="AJ128" s="394">
        <v>0</v>
      </c>
      <c r="AK128" s="394">
        <v>0</v>
      </c>
      <c r="AL128" s="394">
        <v>0</v>
      </c>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row>
    <row r="129" spans="1:131">
      <c r="A129" s="11"/>
      <c r="B129" s="11" t="s">
        <v>648</v>
      </c>
      <c r="C129" s="394">
        <v>0</v>
      </c>
      <c r="D129" s="394">
        <v>0</v>
      </c>
      <c r="E129" s="394">
        <v>0</v>
      </c>
      <c r="F129" s="394">
        <v>0</v>
      </c>
      <c r="G129" s="394">
        <v>0</v>
      </c>
      <c r="H129" s="394">
        <v>0</v>
      </c>
      <c r="I129" s="394">
        <v>0</v>
      </c>
      <c r="J129" s="394">
        <v>0</v>
      </c>
      <c r="K129" s="394">
        <v>0</v>
      </c>
      <c r="L129" s="395">
        <v>0</v>
      </c>
      <c r="M129" s="394">
        <v>0</v>
      </c>
      <c r="N129" s="394">
        <v>0</v>
      </c>
      <c r="O129" s="394">
        <v>0</v>
      </c>
      <c r="P129" s="394">
        <v>0</v>
      </c>
      <c r="Q129" s="394">
        <v>0</v>
      </c>
      <c r="R129" s="394">
        <v>0</v>
      </c>
      <c r="S129" s="394">
        <v>0</v>
      </c>
      <c r="T129" s="394">
        <v>0</v>
      </c>
      <c r="U129" s="394">
        <v>0</v>
      </c>
      <c r="V129" s="394">
        <v>0</v>
      </c>
      <c r="W129" s="394">
        <v>0</v>
      </c>
      <c r="X129" s="394">
        <v>0</v>
      </c>
      <c r="Y129" s="394">
        <v>0</v>
      </c>
      <c r="Z129" s="394"/>
      <c r="AA129" s="394">
        <v>0</v>
      </c>
      <c r="AB129" s="394">
        <v>0</v>
      </c>
      <c r="AC129" s="394">
        <v>0</v>
      </c>
      <c r="AD129" s="394">
        <v>0</v>
      </c>
      <c r="AE129" s="394">
        <v>0</v>
      </c>
      <c r="AF129" s="394">
        <v>0</v>
      </c>
      <c r="AG129" s="394">
        <v>0</v>
      </c>
      <c r="AH129" s="394">
        <v>0</v>
      </c>
      <c r="AI129" s="394">
        <v>0</v>
      </c>
      <c r="AJ129" s="394">
        <v>0</v>
      </c>
      <c r="AK129" s="394">
        <v>0</v>
      </c>
      <c r="AL129" s="394">
        <v>0</v>
      </c>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row>
    <row r="130" spans="1:131">
      <c r="A130" s="11"/>
      <c r="B130" s="11" t="s">
        <v>649</v>
      </c>
      <c r="C130" s="394">
        <v>0</v>
      </c>
      <c r="D130" s="394">
        <v>0</v>
      </c>
      <c r="E130" s="394">
        <v>0</v>
      </c>
      <c r="F130" s="394">
        <v>0</v>
      </c>
      <c r="G130" s="394">
        <v>0</v>
      </c>
      <c r="H130" s="394">
        <v>0</v>
      </c>
      <c r="I130" s="394">
        <v>0</v>
      </c>
      <c r="J130" s="394">
        <v>0</v>
      </c>
      <c r="K130" s="394">
        <v>0</v>
      </c>
      <c r="L130" s="395">
        <v>0</v>
      </c>
      <c r="M130" s="394">
        <v>0</v>
      </c>
      <c r="N130" s="394">
        <v>0</v>
      </c>
      <c r="O130" s="394">
        <v>0</v>
      </c>
      <c r="P130" s="394">
        <v>0</v>
      </c>
      <c r="Q130" s="394">
        <v>0</v>
      </c>
      <c r="R130" s="394">
        <v>0</v>
      </c>
      <c r="S130" s="394">
        <v>0</v>
      </c>
      <c r="T130" s="394">
        <v>0</v>
      </c>
      <c r="U130" s="394">
        <v>0</v>
      </c>
      <c r="V130" s="394">
        <v>0</v>
      </c>
      <c r="W130" s="394">
        <v>0</v>
      </c>
      <c r="X130" s="394">
        <v>0</v>
      </c>
      <c r="Y130" s="394">
        <v>0</v>
      </c>
      <c r="Z130" s="394"/>
      <c r="AA130" s="394">
        <v>0</v>
      </c>
      <c r="AB130" s="394">
        <v>0</v>
      </c>
      <c r="AC130" s="394">
        <v>0</v>
      </c>
      <c r="AD130" s="394">
        <v>0</v>
      </c>
      <c r="AE130" s="394">
        <v>0</v>
      </c>
      <c r="AF130" s="394">
        <v>0</v>
      </c>
      <c r="AG130" s="394">
        <v>0</v>
      </c>
      <c r="AH130" s="394">
        <v>0</v>
      </c>
      <c r="AI130" s="394">
        <v>0</v>
      </c>
      <c r="AJ130" s="394">
        <v>0</v>
      </c>
      <c r="AK130" s="394">
        <v>0</v>
      </c>
      <c r="AL130" s="394">
        <v>0</v>
      </c>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row>
    <row r="131" spans="1:131">
      <c r="A131" s="11"/>
      <c r="B131" s="11" t="s">
        <v>650</v>
      </c>
      <c r="C131" s="394">
        <v>0</v>
      </c>
      <c r="D131" s="394">
        <v>0</v>
      </c>
      <c r="E131" s="394">
        <v>0</v>
      </c>
      <c r="F131" s="394">
        <v>0</v>
      </c>
      <c r="G131" s="394">
        <v>0</v>
      </c>
      <c r="H131" s="394">
        <v>0</v>
      </c>
      <c r="I131" s="394">
        <v>0</v>
      </c>
      <c r="J131" s="394">
        <v>0</v>
      </c>
      <c r="K131" s="394">
        <v>0</v>
      </c>
      <c r="L131" s="395">
        <v>0</v>
      </c>
      <c r="M131" s="394">
        <v>0</v>
      </c>
      <c r="N131" s="394">
        <v>0</v>
      </c>
      <c r="O131" s="394">
        <v>0</v>
      </c>
      <c r="P131" s="394">
        <v>0</v>
      </c>
      <c r="Q131" s="394">
        <v>0</v>
      </c>
      <c r="R131" s="394">
        <v>0</v>
      </c>
      <c r="S131" s="394">
        <v>0</v>
      </c>
      <c r="T131" s="394">
        <v>0</v>
      </c>
      <c r="U131" s="394">
        <v>0</v>
      </c>
      <c r="V131" s="394">
        <v>0</v>
      </c>
      <c r="W131" s="394">
        <v>0</v>
      </c>
      <c r="X131" s="394">
        <v>0</v>
      </c>
      <c r="Y131" s="394">
        <v>0</v>
      </c>
      <c r="Z131" s="394"/>
      <c r="AA131" s="394">
        <v>0</v>
      </c>
      <c r="AB131" s="394">
        <v>0</v>
      </c>
      <c r="AC131" s="394">
        <v>0</v>
      </c>
      <c r="AD131" s="394">
        <v>0</v>
      </c>
      <c r="AE131" s="394">
        <v>0</v>
      </c>
      <c r="AF131" s="394">
        <v>0</v>
      </c>
      <c r="AG131" s="394">
        <v>0</v>
      </c>
      <c r="AH131" s="394">
        <v>0</v>
      </c>
      <c r="AI131" s="394">
        <v>0</v>
      </c>
      <c r="AJ131" s="394">
        <v>0</v>
      </c>
      <c r="AK131" s="394">
        <v>0</v>
      </c>
      <c r="AL131" s="394">
        <v>0</v>
      </c>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row>
    <row r="132" spans="1:131">
      <c r="A132" s="11"/>
      <c r="B132" s="11" t="s">
        <v>651</v>
      </c>
      <c r="C132" s="394">
        <v>0</v>
      </c>
      <c r="D132" s="394">
        <v>0</v>
      </c>
      <c r="E132" s="394">
        <v>0</v>
      </c>
      <c r="F132" s="394">
        <v>0</v>
      </c>
      <c r="G132" s="394">
        <v>0</v>
      </c>
      <c r="H132" s="394">
        <v>0</v>
      </c>
      <c r="I132" s="394">
        <v>0</v>
      </c>
      <c r="J132" s="394">
        <v>0</v>
      </c>
      <c r="K132" s="394">
        <v>0</v>
      </c>
      <c r="L132" s="395">
        <v>0</v>
      </c>
      <c r="M132" s="394">
        <v>0</v>
      </c>
      <c r="N132" s="394">
        <v>0</v>
      </c>
      <c r="O132" s="394">
        <v>0</v>
      </c>
      <c r="P132" s="394">
        <v>0</v>
      </c>
      <c r="Q132" s="394">
        <v>0</v>
      </c>
      <c r="R132" s="394">
        <v>0</v>
      </c>
      <c r="S132" s="394">
        <v>0</v>
      </c>
      <c r="T132" s="394">
        <v>0</v>
      </c>
      <c r="U132" s="394">
        <v>0</v>
      </c>
      <c r="V132" s="394">
        <v>0</v>
      </c>
      <c r="W132" s="394">
        <v>0</v>
      </c>
      <c r="X132" s="394">
        <v>0</v>
      </c>
      <c r="Y132" s="394">
        <v>0</v>
      </c>
      <c r="Z132" s="394"/>
      <c r="AA132" s="394">
        <v>0</v>
      </c>
      <c r="AB132" s="394">
        <v>0</v>
      </c>
      <c r="AC132" s="394">
        <v>0</v>
      </c>
      <c r="AD132" s="394">
        <v>0</v>
      </c>
      <c r="AE132" s="394">
        <v>0</v>
      </c>
      <c r="AF132" s="394">
        <v>0</v>
      </c>
      <c r="AG132" s="394">
        <v>0</v>
      </c>
      <c r="AH132" s="394">
        <v>0</v>
      </c>
      <c r="AI132" s="394">
        <v>0</v>
      </c>
      <c r="AJ132" s="394">
        <v>0</v>
      </c>
      <c r="AK132" s="394">
        <v>0</v>
      </c>
      <c r="AL132" s="394">
        <v>0</v>
      </c>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row>
    <row r="133" spans="1:131">
      <c r="A133" s="11"/>
      <c r="B133" s="11" t="s">
        <v>652</v>
      </c>
      <c r="C133" s="394">
        <v>0</v>
      </c>
      <c r="D133" s="394">
        <v>0</v>
      </c>
      <c r="E133" s="394">
        <v>0</v>
      </c>
      <c r="F133" s="394">
        <v>0</v>
      </c>
      <c r="G133" s="394">
        <v>0</v>
      </c>
      <c r="H133" s="394">
        <v>0</v>
      </c>
      <c r="I133" s="394">
        <v>0</v>
      </c>
      <c r="J133" s="394">
        <v>0</v>
      </c>
      <c r="K133" s="394">
        <v>0</v>
      </c>
      <c r="L133" s="395">
        <v>0</v>
      </c>
      <c r="M133" s="394">
        <v>0</v>
      </c>
      <c r="N133" s="394">
        <v>0</v>
      </c>
      <c r="O133" s="394">
        <v>0</v>
      </c>
      <c r="P133" s="394">
        <v>0</v>
      </c>
      <c r="Q133" s="394">
        <v>0</v>
      </c>
      <c r="R133" s="394">
        <v>0</v>
      </c>
      <c r="S133" s="394">
        <v>0</v>
      </c>
      <c r="T133" s="394">
        <v>0</v>
      </c>
      <c r="U133" s="394">
        <v>0</v>
      </c>
      <c r="V133" s="394">
        <v>0</v>
      </c>
      <c r="W133" s="394">
        <v>0</v>
      </c>
      <c r="X133" s="394">
        <v>0</v>
      </c>
      <c r="Y133" s="394">
        <v>0</v>
      </c>
      <c r="Z133" s="394"/>
      <c r="AA133" s="394">
        <v>0</v>
      </c>
      <c r="AB133" s="394">
        <v>0</v>
      </c>
      <c r="AC133" s="394">
        <v>0</v>
      </c>
      <c r="AD133" s="394">
        <v>0</v>
      </c>
      <c r="AE133" s="394">
        <v>0</v>
      </c>
      <c r="AF133" s="394">
        <v>0</v>
      </c>
      <c r="AG133" s="394">
        <v>0</v>
      </c>
      <c r="AH133" s="394">
        <v>0</v>
      </c>
      <c r="AI133" s="394">
        <v>0</v>
      </c>
      <c r="AJ133" s="394">
        <v>0</v>
      </c>
      <c r="AK133" s="394">
        <v>0</v>
      </c>
      <c r="AL133" s="394">
        <v>0</v>
      </c>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row>
    <row r="134" spans="1:131">
      <c r="A134" s="11"/>
      <c r="B134" s="11" t="s">
        <v>653</v>
      </c>
      <c r="C134" s="394">
        <v>0</v>
      </c>
      <c r="D134" s="394">
        <v>0</v>
      </c>
      <c r="E134" s="394">
        <v>0</v>
      </c>
      <c r="F134" s="394">
        <v>0</v>
      </c>
      <c r="G134" s="394">
        <v>0</v>
      </c>
      <c r="H134" s="394">
        <v>0</v>
      </c>
      <c r="I134" s="394">
        <v>0</v>
      </c>
      <c r="J134" s="394">
        <v>0</v>
      </c>
      <c r="K134" s="394">
        <v>0</v>
      </c>
      <c r="L134" s="395">
        <v>0</v>
      </c>
      <c r="M134" s="394">
        <v>0</v>
      </c>
      <c r="N134" s="394">
        <v>0</v>
      </c>
      <c r="O134" s="394">
        <v>0</v>
      </c>
      <c r="P134" s="394">
        <v>0</v>
      </c>
      <c r="Q134" s="394">
        <v>0</v>
      </c>
      <c r="R134" s="394">
        <v>0</v>
      </c>
      <c r="S134" s="394">
        <v>0</v>
      </c>
      <c r="T134" s="394">
        <v>0</v>
      </c>
      <c r="U134" s="394">
        <v>0</v>
      </c>
      <c r="V134" s="394">
        <v>0</v>
      </c>
      <c r="W134" s="394">
        <v>0</v>
      </c>
      <c r="X134" s="394">
        <v>0</v>
      </c>
      <c r="Y134" s="394">
        <v>0</v>
      </c>
      <c r="Z134" s="394"/>
      <c r="AA134" s="394">
        <v>0</v>
      </c>
      <c r="AB134" s="394">
        <v>0</v>
      </c>
      <c r="AC134" s="394">
        <v>0</v>
      </c>
      <c r="AD134" s="394">
        <v>0</v>
      </c>
      <c r="AE134" s="394">
        <v>0</v>
      </c>
      <c r="AF134" s="394">
        <v>0</v>
      </c>
      <c r="AG134" s="394">
        <v>0</v>
      </c>
      <c r="AH134" s="394">
        <v>0</v>
      </c>
      <c r="AI134" s="394">
        <v>0</v>
      </c>
      <c r="AJ134" s="394">
        <v>0</v>
      </c>
      <c r="AK134" s="394">
        <v>0</v>
      </c>
      <c r="AL134" s="394">
        <v>0</v>
      </c>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row>
    <row r="135" spans="1:131">
      <c r="A135" s="11"/>
      <c r="B135" s="11" t="s">
        <v>654</v>
      </c>
      <c r="C135" s="394">
        <v>0</v>
      </c>
      <c r="D135" s="394">
        <v>0</v>
      </c>
      <c r="E135" s="394">
        <v>0</v>
      </c>
      <c r="F135" s="394">
        <v>0</v>
      </c>
      <c r="G135" s="394">
        <v>0</v>
      </c>
      <c r="H135" s="394">
        <v>0</v>
      </c>
      <c r="I135" s="394">
        <v>0</v>
      </c>
      <c r="J135" s="394">
        <v>0</v>
      </c>
      <c r="K135" s="394">
        <v>0</v>
      </c>
      <c r="L135" s="395">
        <v>0</v>
      </c>
      <c r="M135" s="394">
        <v>0</v>
      </c>
      <c r="N135" s="394">
        <v>0</v>
      </c>
      <c r="O135" s="394">
        <v>0</v>
      </c>
      <c r="P135" s="394">
        <v>0</v>
      </c>
      <c r="Q135" s="394">
        <v>0</v>
      </c>
      <c r="R135" s="394">
        <v>0</v>
      </c>
      <c r="S135" s="394">
        <v>0</v>
      </c>
      <c r="T135" s="394">
        <v>0</v>
      </c>
      <c r="U135" s="394">
        <v>0</v>
      </c>
      <c r="V135" s="394">
        <v>0</v>
      </c>
      <c r="W135" s="394">
        <v>0</v>
      </c>
      <c r="X135" s="394">
        <v>0</v>
      </c>
      <c r="Y135" s="394">
        <v>0</v>
      </c>
      <c r="Z135" s="394"/>
      <c r="AA135" s="394">
        <v>0</v>
      </c>
      <c r="AB135" s="394">
        <v>0</v>
      </c>
      <c r="AC135" s="394">
        <v>0</v>
      </c>
      <c r="AD135" s="394">
        <v>0</v>
      </c>
      <c r="AE135" s="394">
        <v>0</v>
      </c>
      <c r="AF135" s="394">
        <v>0</v>
      </c>
      <c r="AG135" s="394">
        <v>0</v>
      </c>
      <c r="AH135" s="394">
        <v>0</v>
      </c>
      <c r="AI135" s="394">
        <v>0</v>
      </c>
      <c r="AJ135" s="394">
        <v>0</v>
      </c>
      <c r="AK135" s="394">
        <v>0</v>
      </c>
      <c r="AL135" s="394">
        <v>0</v>
      </c>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row>
    <row r="136" spans="1:131">
      <c r="A136" s="11"/>
      <c r="B136" s="11" t="s">
        <v>655</v>
      </c>
      <c r="C136" s="394">
        <v>0</v>
      </c>
      <c r="D136" s="394">
        <v>0</v>
      </c>
      <c r="E136" s="394">
        <v>0</v>
      </c>
      <c r="F136" s="394">
        <v>0</v>
      </c>
      <c r="G136" s="394">
        <v>0</v>
      </c>
      <c r="H136" s="394">
        <v>0</v>
      </c>
      <c r="I136" s="394">
        <v>0</v>
      </c>
      <c r="J136" s="394">
        <v>0</v>
      </c>
      <c r="K136" s="394">
        <v>0</v>
      </c>
      <c r="L136" s="395">
        <v>0</v>
      </c>
      <c r="M136" s="394">
        <v>0</v>
      </c>
      <c r="N136" s="394">
        <v>0</v>
      </c>
      <c r="O136" s="394">
        <v>0</v>
      </c>
      <c r="P136" s="394">
        <v>0</v>
      </c>
      <c r="Q136" s="394">
        <v>0</v>
      </c>
      <c r="R136" s="394">
        <v>0</v>
      </c>
      <c r="S136" s="394">
        <v>0</v>
      </c>
      <c r="T136" s="394">
        <v>0</v>
      </c>
      <c r="U136" s="394">
        <v>0</v>
      </c>
      <c r="V136" s="394">
        <v>0</v>
      </c>
      <c r="W136" s="394">
        <v>0</v>
      </c>
      <c r="X136" s="394">
        <v>0</v>
      </c>
      <c r="Y136" s="394">
        <v>0</v>
      </c>
      <c r="Z136" s="394"/>
      <c r="AA136" s="394">
        <v>0</v>
      </c>
      <c r="AB136" s="394">
        <v>0</v>
      </c>
      <c r="AC136" s="394">
        <v>0</v>
      </c>
      <c r="AD136" s="394">
        <v>0</v>
      </c>
      <c r="AE136" s="394">
        <v>0</v>
      </c>
      <c r="AF136" s="394">
        <v>0</v>
      </c>
      <c r="AG136" s="394">
        <v>0</v>
      </c>
      <c r="AH136" s="394">
        <v>0</v>
      </c>
      <c r="AI136" s="394">
        <v>0</v>
      </c>
      <c r="AJ136" s="394">
        <v>0</v>
      </c>
      <c r="AK136" s="394">
        <v>0</v>
      </c>
      <c r="AL136" s="394">
        <v>0</v>
      </c>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row>
    <row r="137" spans="1:131">
      <c r="A137" s="11"/>
      <c r="B137" s="11" t="s">
        <v>656</v>
      </c>
      <c r="C137" s="394">
        <v>0</v>
      </c>
      <c r="D137" s="394">
        <v>0</v>
      </c>
      <c r="E137" s="394">
        <v>0</v>
      </c>
      <c r="F137" s="394">
        <v>0</v>
      </c>
      <c r="G137" s="394">
        <v>0</v>
      </c>
      <c r="H137" s="394">
        <v>0</v>
      </c>
      <c r="I137" s="394">
        <v>0</v>
      </c>
      <c r="J137" s="394">
        <v>0</v>
      </c>
      <c r="K137" s="394">
        <v>0</v>
      </c>
      <c r="L137" s="395">
        <v>0</v>
      </c>
      <c r="M137" s="394">
        <v>0</v>
      </c>
      <c r="N137" s="394">
        <v>0</v>
      </c>
      <c r="O137" s="394">
        <v>0</v>
      </c>
      <c r="P137" s="394">
        <v>0</v>
      </c>
      <c r="Q137" s="394">
        <v>0</v>
      </c>
      <c r="R137" s="394">
        <v>0</v>
      </c>
      <c r="S137" s="394">
        <v>0</v>
      </c>
      <c r="T137" s="394">
        <v>0</v>
      </c>
      <c r="U137" s="394">
        <v>0</v>
      </c>
      <c r="V137" s="394">
        <v>0</v>
      </c>
      <c r="W137" s="394">
        <v>0</v>
      </c>
      <c r="X137" s="394">
        <v>0</v>
      </c>
      <c r="Y137" s="394">
        <v>0</v>
      </c>
      <c r="Z137" s="394"/>
      <c r="AA137" s="394">
        <v>0</v>
      </c>
      <c r="AB137" s="394">
        <v>0</v>
      </c>
      <c r="AC137" s="394">
        <v>0</v>
      </c>
      <c r="AD137" s="394">
        <v>0</v>
      </c>
      <c r="AE137" s="394">
        <v>0</v>
      </c>
      <c r="AF137" s="394">
        <v>0</v>
      </c>
      <c r="AG137" s="394">
        <v>0</v>
      </c>
      <c r="AH137" s="394">
        <v>0</v>
      </c>
      <c r="AI137" s="394">
        <v>0</v>
      </c>
      <c r="AJ137" s="394">
        <v>0</v>
      </c>
      <c r="AK137" s="394">
        <v>0</v>
      </c>
      <c r="AL137" s="394">
        <v>0</v>
      </c>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row>
    <row r="138" spans="1:131">
      <c r="A138" s="11"/>
      <c r="B138" s="11" t="s">
        <v>657</v>
      </c>
      <c r="C138" s="394">
        <v>0</v>
      </c>
      <c r="D138" s="394">
        <v>0</v>
      </c>
      <c r="E138" s="394">
        <v>0</v>
      </c>
      <c r="F138" s="394">
        <v>0</v>
      </c>
      <c r="G138" s="394">
        <v>0</v>
      </c>
      <c r="H138" s="394">
        <v>0</v>
      </c>
      <c r="I138" s="394">
        <v>0</v>
      </c>
      <c r="J138" s="394">
        <v>0</v>
      </c>
      <c r="K138" s="394">
        <v>0</v>
      </c>
      <c r="L138" s="395">
        <v>0</v>
      </c>
      <c r="M138" s="394">
        <v>0</v>
      </c>
      <c r="N138" s="394">
        <v>0</v>
      </c>
      <c r="O138" s="394">
        <v>0</v>
      </c>
      <c r="P138" s="394">
        <v>0</v>
      </c>
      <c r="Q138" s="394">
        <v>0</v>
      </c>
      <c r="R138" s="394">
        <v>0</v>
      </c>
      <c r="S138" s="394">
        <v>0</v>
      </c>
      <c r="T138" s="394">
        <v>0</v>
      </c>
      <c r="U138" s="394">
        <v>0</v>
      </c>
      <c r="V138" s="394">
        <v>0</v>
      </c>
      <c r="W138" s="394">
        <v>0</v>
      </c>
      <c r="X138" s="394">
        <v>0</v>
      </c>
      <c r="Y138" s="394">
        <v>0</v>
      </c>
      <c r="Z138" s="394"/>
      <c r="AA138" s="394">
        <v>0</v>
      </c>
      <c r="AB138" s="394">
        <v>0</v>
      </c>
      <c r="AC138" s="394">
        <v>0</v>
      </c>
      <c r="AD138" s="394">
        <v>0</v>
      </c>
      <c r="AE138" s="394">
        <v>0</v>
      </c>
      <c r="AF138" s="394">
        <v>0</v>
      </c>
      <c r="AG138" s="394">
        <v>0</v>
      </c>
      <c r="AH138" s="394">
        <v>0</v>
      </c>
      <c r="AI138" s="394">
        <v>0</v>
      </c>
      <c r="AJ138" s="394">
        <v>0</v>
      </c>
      <c r="AK138" s="394">
        <v>0</v>
      </c>
      <c r="AL138" s="394">
        <v>0</v>
      </c>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row>
    <row r="139" spans="1:131">
      <c r="A139" s="11"/>
      <c r="B139" s="11" t="s">
        <v>658</v>
      </c>
      <c r="C139" s="394">
        <v>0</v>
      </c>
      <c r="D139" s="394">
        <v>0</v>
      </c>
      <c r="E139" s="394">
        <v>0</v>
      </c>
      <c r="F139" s="394">
        <v>0</v>
      </c>
      <c r="G139" s="394">
        <v>0</v>
      </c>
      <c r="H139" s="394">
        <v>0</v>
      </c>
      <c r="I139" s="394">
        <v>0</v>
      </c>
      <c r="J139" s="394">
        <v>0</v>
      </c>
      <c r="K139" s="394">
        <v>0</v>
      </c>
      <c r="L139" s="395">
        <v>0</v>
      </c>
      <c r="M139" s="394">
        <v>0</v>
      </c>
      <c r="N139" s="394">
        <v>0</v>
      </c>
      <c r="O139" s="394">
        <v>0</v>
      </c>
      <c r="P139" s="394">
        <v>0</v>
      </c>
      <c r="Q139" s="394">
        <v>0</v>
      </c>
      <c r="R139" s="394">
        <v>0</v>
      </c>
      <c r="S139" s="394">
        <v>0</v>
      </c>
      <c r="T139" s="394">
        <v>0</v>
      </c>
      <c r="U139" s="394">
        <v>0</v>
      </c>
      <c r="V139" s="394">
        <v>0</v>
      </c>
      <c r="W139" s="394">
        <v>0</v>
      </c>
      <c r="X139" s="394">
        <v>0</v>
      </c>
      <c r="Y139" s="394">
        <v>0</v>
      </c>
      <c r="Z139" s="394"/>
      <c r="AA139" s="394">
        <v>0</v>
      </c>
      <c r="AB139" s="394">
        <v>0</v>
      </c>
      <c r="AC139" s="394">
        <v>0</v>
      </c>
      <c r="AD139" s="394">
        <v>0</v>
      </c>
      <c r="AE139" s="394">
        <v>0</v>
      </c>
      <c r="AF139" s="394">
        <v>0</v>
      </c>
      <c r="AG139" s="394">
        <v>0</v>
      </c>
      <c r="AH139" s="394">
        <v>0</v>
      </c>
      <c r="AI139" s="394">
        <v>0</v>
      </c>
      <c r="AJ139" s="394">
        <v>0</v>
      </c>
      <c r="AK139" s="394">
        <v>0</v>
      </c>
      <c r="AL139" s="394">
        <v>0</v>
      </c>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row>
    <row r="140" spans="1:131">
      <c r="A140" s="11"/>
      <c r="B140" s="11" t="s">
        <v>659</v>
      </c>
      <c r="C140" s="394">
        <v>0</v>
      </c>
      <c r="D140" s="394">
        <v>0</v>
      </c>
      <c r="E140" s="394">
        <v>0</v>
      </c>
      <c r="F140" s="394">
        <v>0</v>
      </c>
      <c r="G140" s="394">
        <v>0</v>
      </c>
      <c r="H140" s="394">
        <v>0</v>
      </c>
      <c r="I140" s="394">
        <v>0</v>
      </c>
      <c r="J140" s="394">
        <v>0</v>
      </c>
      <c r="K140" s="394">
        <v>0</v>
      </c>
      <c r="L140" s="395">
        <v>0</v>
      </c>
      <c r="M140" s="394">
        <v>0</v>
      </c>
      <c r="N140" s="394">
        <v>0</v>
      </c>
      <c r="O140" s="394">
        <v>0</v>
      </c>
      <c r="P140" s="394">
        <v>0</v>
      </c>
      <c r="Q140" s="394">
        <v>0</v>
      </c>
      <c r="R140" s="394">
        <v>0</v>
      </c>
      <c r="S140" s="394">
        <v>0</v>
      </c>
      <c r="T140" s="394">
        <v>0</v>
      </c>
      <c r="U140" s="394">
        <v>0</v>
      </c>
      <c r="V140" s="394">
        <v>0</v>
      </c>
      <c r="W140" s="394">
        <v>0</v>
      </c>
      <c r="X140" s="394">
        <v>0</v>
      </c>
      <c r="Y140" s="394">
        <v>0</v>
      </c>
      <c r="Z140" s="394"/>
      <c r="AA140" s="394">
        <v>0</v>
      </c>
      <c r="AB140" s="394">
        <v>0</v>
      </c>
      <c r="AC140" s="394">
        <v>0</v>
      </c>
      <c r="AD140" s="394">
        <v>0</v>
      </c>
      <c r="AE140" s="394">
        <v>0</v>
      </c>
      <c r="AF140" s="394">
        <v>0</v>
      </c>
      <c r="AG140" s="394">
        <v>0</v>
      </c>
      <c r="AH140" s="394">
        <v>0</v>
      </c>
      <c r="AI140" s="394">
        <v>0</v>
      </c>
      <c r="AJ140" s="394">
        <v>0</v>
      </c>
      <c r="AK140" s="394">
        <v>0</v>
      </c>
      <c r="AL140" s="394">
        <v>0</v>
      </c>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row>
    <row r="141" spans="1:131">
      <c r="A141" s="11"/>
      <c r="B141" s="11" t="s">
        <v>660</v>
      </c>
      <c r="C141" s="394">
        <v>0</v>
      </c>
      <c r="D141" s="394">
        <v>0</v>
      </c>
      <c r="E141" s="394">
        <v>0</v>
      </c>
      <c r="F141" s="394">
        <v>0</v>
      </c>
      <c r="G141" s="394">
        <v>0</v>
      </c>
      <c r="H141" s="394">
        <v>0</v>
      </c>
      <c r="I141" s="394">
        <v>0</v>
      </c>
      <c r="J141" s="394">
        <v>0</v>
      </c>
      <c r="K141" s="394">
        <v>0</v>
      </c>
      <c r="L141" s="395">
        <v>0</v>
      </c>
      <c r="M141" s="394">
        <v>0</v>
      </c>
      <c r="N141" s="394">
        <v>0</v>
      </c>
      <c r="O141" s="394">
        <v>0</v>
      </c>
      <c r="P141" s="394">
        <v>0</v>
      </c>
      <c r="Q141" s="394">
        <v>0</v>
      </c>
      <c r="R141" s="394">
        <v>0</v>
      </c>
      <c r="S141" s="394">
        <v>0</v>
      </c>
      <c r="T141" s="394">
        <v>0</v>
      </c>
      <c r="U141" s="394">
        <v>0</v>
      </c>
      <c r="V141" s="394">
        <v>0</v>
      </c>
      <c r="W141" s="394">
        <v>0</v>
      </c>
      <c r="X141" s="394">
        <v>0</v>
      </c>
      <c r="Y141" s="394">
        <v>0</v>
      </c>
      <c r="Z141" s="394"/>
      <c r="AA141" s="394">
        <v>0</v>
      </c>
      <c r="AB141" s="394">
        <v>0</v>
      </c>
      <c r="AC141" s="394">
        <v>0</v>
      </c>
      <c r="AD141" s="394">
        <v>0</v>
      </c>
      <c r="AE141" s="394">
        <v>0</v>
      </c>
      <c r="AF141" s="394">
        <v>0</v>
      </c>
      <c r="AG141" s="394">
        <v>0</v>
      </c>
      <c r="AH141" s="394">
        <v>0</v>
      </c>
      <c r="AI141" s="394">
        <v>0</v>
      </c>
      <c r="AJ141" s="394">
        <v>0</v>
      </c>
      <c r="AK141" s="394">
        <v>0</v>
      </c>
      <c r="AL141" s="394">
        <v>0</v>
      </c>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row>
    <row r="142" spans="1:131">
      <c r="A142" s="11"/>
      <c r="B142" s="11" t="s">
        <v>661</v>
      </c>
      <c r="C142" s="394">
        <v>0</v>
      </c>
      <c r="D142" s="394">
        <v>0</v>
      </c>
      <c r="E142" s="394">
        <v>0</v>
      </c>
      <c r="F142" s="394">
        <v>0</v>
      </c>
      <c r="G142" s="394">
        <v>0</v>
      </c>
      <c r="H142" s="394">
        <v>0</v>
      </c>
      <c r="I142" s="394">
        <v>0</v>
      </c>
      <c r="J142" s="394">
        <v>0</v>
      </c>
      <c r="K142" s="394">
        <v>0</v>
      </c>
      <c r="L142" s="395">
        <v>0</v>
      </c>
      <c r="M142" s="394">
        <v>0</v>
      </c>
      <c r="N142" s="394">
        <v>0</v>
      </c>
      <c r="O142" s="394">
        <v>0</v>
      </c>
      <c r="P142" s="394">
        <v>0</v>
      </c>
      <c r="Q142" s="394">
        <v>0</v>
      </c>
      <c r="R142" s="394">
        <v>0</v>
      </c>
      <c r="S142" s="394">
        <v>0</v>
      </c>
      <c r="T142" s="394">
        <v>0</v>
      </c>
      <c r="U142" s="394">
        <v>0</v>
      </c>
      <c r="V142" s="394">
        <v>0</v>
      </c>
      <c r="W142" s="394">
        <v>0</v>
      </c>
      <c r="X142" s="394">
        <v>0</v>
      </c>
      <c r="Y142" s="394">
        <v>0</v>
      </c>
      <c r="Z142" s="394"/>
      <c r="AA142" s="394">
        <v>0</v>
      </c>
      <c r="AB142" s="394">
        <v>0</v>
      </c>
      <c r="AC142" s="394">
        <v>0</v>
      </c>
      <c r="AD142" s="394">
        <v>0</v>
      </c>
      <c r="AE142" s="394">
        <v>0</v>
      </c>
      <c r="AF142" s="394">
        <v>0</v>
      </c>
      <c r="AG142" s="394">
        <v>0</v>
      </c>
      <c r="AH142" s="394">
        <v>0</v>
      </c>
      <c r="AI142" s="394">
        <v>0</v>
      </c>
      <c r="AJ142" s="394">
        <v>0</v>
      </c>
      <c r="AK142" s="394">
        <v>0</v>
      </c>
      <c r="AL142" s="394">
        <v>0</v>
      </c>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row>
    <row r="143" spans="1:131">
      <c r="A143" s="11"/>
      <c r="B143" s="11"/>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row>
    <row r="144" spans="1:131">
      <c r="A144" s="11"/>
      <c r="B144" s="11"/>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row>
    <row r="145" spans="1:131" ht="13.5" thickBot="1">
      <c r="A145" s="368" t="s">
        <v>662</v>
      </c>
      <c r="B145" s="370"/>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row>
    <row r="146" spans="1:131" ht="13.5" thickBot="1">
      <c r="A146" s="396"/>
      <c r="B146" s="397"/>
      <c r="C146" s="398"/>
      <c r="D146" s="398"/>
      <c r="E146" s="398"/>
      <c r="F146" s="398"/>
      <c r="G146" s="398"/>
      <c r="H146" s="398"/>
      <c r="I146" s="398"/>
      <c r="J146" s="398"/>
      <c r="K146" s="398"/>
      <c r="L146" s="398"/>
      <c r="M146" s="398"/>
      <c r="N146" s="398"/>
      <c r="O146" s="399" t="s">
        <v>961</v>
      </c>
      <c r="P146" s="400"/>
      <c r="Q146" s="400"/>
      <c r="R146" s="400"/>
      <c r="S146" s="400"/>
      <c r="T146" s="400"/>
      <c r="U146" s="400"/>
      <c r="V146" s="400"/>
      <c r="W146" s="400"/>
      <c r="X146" s="400"/>
      <c r="Y146" s="400"/>
      <c r="Z146" s="388"/>
      <c r="AA146" s="398"/>
      <c r="AB146" s="399" t="s">
        <v>962</v>
      </c>
      <c r="AC146" s="400"/>
      <c r="AD146" s="400"/>
      <c r="AE146" s="400"/>
      <c r="AF146" s="400"/>
      <c r="AG146" s="400"/>
      <c r="AH146" s="400"/>
      <c r="AI146" s="400"/>
      <c r="AJ146" s="400"/>
      <c r="AK146" s="400"/>
      <c r="AL146" s="400"/>
      <c r="AM146" s="388"/>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row>
    <row r="147" spans="1:131" ht="102">
      <c r="A147" s="379" t="s">
        <v>308</v>
      </c>
      <c r="B147" s="380" t="s">
        <v>309</v>
      </c>
      <c r="C147" s="381" t="s">
        <v>663</v>
      </c>
      <c r="D147" s="381" t="s">
        <v>617</v>
      </c>
      <c r="E147" s="381" t="s">
        <v>618</v>
      </c>
      <c r="F147" s="381" t="s">
        <v>619</v>
      </c>
      <c r="G147" s="381" t="s">
        <v>620</v>
      </c>
      <c r="H147" s="381" t="s">
        <v>621</v>
      </c>
      <c r="I147" s="381" t="s">
        <v>622</v>
      </c>
      <c r="J147" s="381" t="s">
        <v>623</v>
      </c>
      <c r="K147" s="381" t="s">
        <v>372</v>
      </c>
      <c r="L147" s="381" t="s">
        <v>371</v>
      </c>
      <c r="M147" s="381" t="s">
        <v>624</v>
      </c>
      <c r="N147" s="381" t="s">
        <v>963</v>
      </c>
      <c r="O147" s="381" t="s">
        <v>625</v>
      </c>
      <c r="P147" s="381" t="s">
        <v>626</v>
      </c>
      <c r="Q147" s="381" t="s">
        <v>627</v>
      </c>
      <c r="R147" s="381" t="s">
        <v>628</v>
      </c>
      <c r="S147" s="381" t="s">
        <v>629</v>
      </c>
      <c r="T147" s="381" t="s">
        <v>630</v>
      </c>
      <c r="U147" s="381" t="s">
        <v>631</v>
      </c>
      <c r="V147" s="381" t="s">
        <v>632</v>
      </c>
      <c r="W147" s="381" t="s">
        <v>633</v>
      </c>
      <c r="X147" s="381" t="s">
        <v>634</v>
      </c>
      <c r="Y147" s="381" t="s">
        <v>635</v>
      </c>
      <c r="Z147" s="381" t="s">
        <v>636</v>
      </c>
      <c r="AA147" s="381"/>
      <c r="AB147" s="381" t="s">
        <v>625</v>
      </c>
      <c r="AC147" s="381" t="s">
        <v>626</v>
      </c>
      <c r="AD147" s="381" t="s">
        <v>627</v>
      </c>
      <c r="AE147" s="381" t="s">
        <v>628</v>
      </c>
      <c r="AF147" s="381" t="s">
        <v>629</v>
      </c>
      <c r="AG147" s="381" t="s">
        <v>630</v>
      </c>
      <c r="AH147" s="381" t="s">
        <v>631</v>
      </c>
      <c r="AI147" s="381" t="s">
        <v>632</v>
      </c>
      <c r="AJ147" s="381" t="s">
        <v>633</v>
      </c>
      <c r="AK147" s="381" t="s">
        <v>634</v>
      </c>
      <c r="AL147" s="381" t="s">
        <v>635</v>
      </c>
      <c r="AM147" s="381" t="s">
        <v>636</v>
      </c>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c r="BT147" s="32"/>
      <c r="BU147" s="32"/>
      <c r="BV147" s="32"/>
      <c r="BW147" s="32"/>
      <c r="BX147" s="32"/>
      <c r="BY147" s="32"/>
      <c r="BZ147" s="32"/>
      <c r="CA147" s="32"/>
      <c r="CB147" s="32"/>
      <c r="CC147" s="32"/>
      <c r="CD147" s="32"/>
      <c r="CE147" s="32"/>
      <c r="CF147" s="32"/>
      <c r="CG147" s="32"/>
      <c r="CH147" s="32"/>
      <c r="CI147" s="32"/>
      <c r="CJ147" s="32"/>
      <c r="CK147" s="32"/>
      <c r="CL147" s="32"/>
      <c r="CM147" s="32"/>
      <c r="CN147" s="32"/>
      <c r="CO147" s="32"/>
      <c r="CP147" s="32"/>
      <c r="CQ147" s="32"/>
      <c r="CR147" s="32"/>
      <c r="CS147" s="32"/>
      <c r="CT147" s="32"/>
      <c r="CU147" s="32"/>
      <c r="CV147" s="32"/>
      <c r="CW147" s="32"/>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row>
    <row r="148" spans="1:131">
      <c r="A148" s="11" t="s">
        <v>527</v>
      </c>
      <c r="B148" s="11"/>
      <c r="C148" s="166">
        <v>384.34978736406504</v>
      </c>
      <c r="D148" s="166">
        <v>-8.5918959509302795</v>
      </c>
      <c r="E148" s="166">
        <v>-1.7183791901860559</v>
      </c>
      <c r="F148" s="166">
        <v>-10.310275141116335</v>
      </c>
      <c r="G148" s="166">
        <v>-164.41998675842979</v>
      </c>
      <c r="H148" s="166">
        <v>277.1969888469207</v>
      </c>
      <c r="I148" s="166">
        <v>-234.98909900691004</v>
      </c>
      <c r="J148" s="166">
        <v>-18.309052412151935</v>
      </c>
      <c r="K148" s="166">
        <v>-49.25380881850176</v>
      </c>
      <c r="L148" s="383">
        <v>9999</v>
      </c>
      <c r="M148" s="166">
        <v>3.6513398793901684</v>
      </c>
      <c r="N148" s="166">
        <v>8.9839054793938777E-2</v>
      </c>
      <c r="O148" s="166">
        <v>15.971617858525018</v>
      </c>
      <c r="P148" s="166">
        <v>11.744295116346755</v>
      </c>
      <c r="Q148" s="166">
        <v>10.872591095990506</v>
      </c>
      <c r="R148" s="166">
        <v>6.2175594462755388</v>
      </c>
      <c r="S148" s="166">
        <v>4.9941893184183046</v>
      </c>
      <c r="T148" s="166">
        <v>3.8760008866299192</v>
      </c>
      <c r="U148" s="166">
        <v>4.0596006375393987</v>
      </c>
      <c r="V148" s="166">
        <v>5.8950101773793246</v>
      </c>
      <c r="W148" s="166">
        <v>7.4346039659414966</v>
      </c>
      <c r="X148" s="166">
        <v>12.117162335007345</v>
      </c>
      <c r="Y148" s="166">
        <v>14.126848410042173</v>
      </c>
      <c r="Z148" s="166">
        <v>16.758689169773863</v>
      </c>
      <c r="AA148" s="166"/>
      <c r="AB148" s="166">
        <v>26.224478621863955</v>
      </c>
      <c r="AC148" s="166">
        <v>22.686144387054959</v>
      </c>
      <c r="AD148" s="166">
        <v>22.797287478477855</v>
      </c>
      <c r="AE148" s="166">
        <v>21.601029761870137</v>
      </c>
      <c r="AF148" s="166">
        <v>19.89249048099833</v>
      </c>
      <c r="AG148" s="166">
        <v>18.068619411581434</v>
      </c>
      <c r="AH148" s="166">
        <v>19.753620174620274</v>
      </c>
      <c r="AI148" s="166">
        <v>21.348744676069515</v>
      </c>
      <c r="AJ148" s="166">
        <v>22.918870963761304</v>
      </c>
      <c r="AK148" s="166">
        <v>23.723212526502014</v>
      </c>
      <c r="AL148" s="166">
        <v>25.010729396170465</v>
      </c>
      <c r="AM148" s="32">
        <v>26.256391067225085</v>
      </c>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c r="BT148" s="32"/>
      <c r="BU148" s="32"/>
      <c r="BV148" s="32"/>
      <c r="BW148" s="32"/>
      <c r="BX148" s="32"/>
      <c r="BY148" s="32"/>
      <c r="BZ148" s="32"/>
      <c r="CA148" s="32"/>
      <c r="CB148" s="32"/>
      <c r="CC148" s="32"/>
      <c r="CD148" s="32"/>
      <c r="CE148" s="32"/>
      <c r="CF148" s="32"/>
      <c r="CG148" s="32"/>
      <c r="CH148" s="32"/>
      <c r="CI148" s="32"/>
      <c r="CJ148" s="32"/>
      <c r="CK148" s="32"/>
      <c r="CL148" s="32"/>
      <c r="CM148" s="32"/>
      <c r="CN148" s="32"/>
      <c r="CO148" s="32"/>
      <c r="CP148" s="32"/>
      <c r="CQ148" s="32"/>
      <c r="CR148" s="32"/>
      <c r="CS148" s="32"/>
      <c r="CT148" s="32"/>
      <c r="CU148" s="32"/>
      <c r="CV148" s="32"/>
      <c r="CW148" s="32"/>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row>
    <row r="149" spans="1:131">
      <c r="A149" s="11" t="s">
        <v>528</v>
      </c>
      <c r="B149" s="11"/>
      <c r="C149" s="166">
        <v>384.34978736406504</v>
      </c>
      <c r="D149" s="166">
        <v>-8.5918959509302795</v>
      </c>
      <c r="E149" s="166">
        <v>-1.7183791901860559</v>
      </c>
      <c r="F149" s="166">
        <v>-10.310275141116335</v>
      </c>
      <c r="G149" s="166">
        <v>-773.49538233721773</v>
      </c>
      <c r="H149" s="166">
        <v>277.1969888469207</v>
      </c>
      <c r="I149" s="166">
        <v>-234.98909900691004</v>
      </c>
      <c r="J149" s="166">
        <v>-18.309052412151935</v>
      </c>
      <c r="K149" s="166">
        <v>-165.85809783385557</v>
      </c>
      <c r="L149" s="383">
        <v>9999</v>
      </c>
      <c r="M149" s="166">
        <v>3.6513398793901684</v>
      </c>
      <c r="N149" s="166">
        <v>8.9839054793938777E-2</v>
      </c>
      <c r="O149" s="166">
        <v>15.971617858525018</v>
      </c>
      <c r="P149" s="166">
        <v>11.744295116346755</v>
      </c>
      <c r="Q149" s="166">
        <v>10.872591095990506</v>
      </c>
      <c r="R149" s="166">
        <v>6.2175594462755388</v>
      </c>
      <c r="S149" s="166">
        <v>4.9941893184183046</v>
      </c>
      <c r="T149" s="166">
        <v>3.8760008866299192</v>
      </c>
      <c r="U149" s="166">
        <v>4.0596006375393987</v>
      </c>
      <c r="V149" s="166">
        <v>5.8950101773793246</v>
      </c>
      <c r="W149" s="166">
        <v>7.4346039659414966</v>
      </c>
      <c r="X149" s="166">
        <v>12.117162335007345</v>
      </c>
      <c r="Y149" s="166">
        <v>14.126848410042173</v>
      </c>
      <c r="Z149" s="166">
        <v>16.758689169773863</v>
      </c>
      <c r="AA149" s="166"/>
      <c r="AB149" s="166">
        <v>26.224478621863955</v>
      </c>
      <c r="AC149" s="166">
        <v>22.686144387054959</v>
      </c>
      <c r="AD149" s="166">
        <v>22.797287478477855</v>
      </c>
      <c r="AE149" s="166">
        <v>21.601029761870137</v>
      </c>
      <c r="AF149" s="166">
        <v>19.89249048099833</v>
      </c>
      <c r="AG149" s="166">
        <v>18.068619411581434</v>
      </c>
      <c r="AH149" s="166">
        <v>19.753620174620274</v>
      </c>
      <c r="AI149" s="166">
        <v>21.348744676069515</v>
      </c>
      <c r="AJ149" s="166">
        <v>22.918870963761304</v>
      </c>
      <c r="AK149" s="166">
        <v>23.723212526502014</v>
      </c>
      <c r="AL149" s="166">
        <v>25.010729396170465</v>
      </c>
      <c r="AM149" s="32">
        <v>26.256391067225085</v>
      </c>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c r="CA149" s="32"/>
      <c r="CB149" s="32"/>
      <c r="CC149" s="32"/>
      <c r="CD149" s="32"/>
      <c r="CE149" s="32"/>
      <c r="CF149" s="32"/>
      <c r="CG149" s="32"/>
      <c r="CH149" s="32"/>
      <c r="CI149" s="32"/>
      <c r="CJ149" s="32"/>
      <c r="CK149" s="32"/>
      <c r="CL149" s="32"/>
      <c r="CM149" s="32"/>
      <c r="CN149" s="32"/>
      <c r="CO149" s="32"/>
      <c r="CP149" s="32"/>
      <c r="CQ149" s="32"/>
      <c r="CR149" s="32"/>
      <c r="CS149" s="32"/>
      <c r="CT149" s="32"/>
      <c r="CU149" s="32"/>
      <c r="CV149" s="32"/>
      <c r="CW149" s="32"/>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row>
    <row r="150" spans="1:131">
      <c r="A150" s="11" t="s">
        <v>529</v>
      </c>
      <c r="B150" s="11"/>
      <c r="C150" s="166">
        <v>306.50679245488732</v>
      </c>
      <c r="D150" s="166">
        <v>-8.5918959509302795</v>
      </c>
      <c r="E150" s="166">
        <v>-1.7183791901860559</v>
      </c>
      <c r="F150" s="166">
        <v>-10.310275141116335</v>
      </c>
      <c r="G150" s="166">
        <v>-164.41998675842979</v>
      </c>
      <c r="H150" s="166">
        <v>221.05582654881036</v>
      </c>
      <c r="I150" s="166">
        <v>-294.66887018326815</v>
      </c>
      <c r="J150" s="166">
        <v>-18.444312714747589</v>
      </c>
      <c r="K150" s="166">
        <v>-57.248054875091029</v>
      </c>
      <c r="L150" s="383">
        <v>9999</v>
      </c>
      <c r="M150" s="166">
        <v>2.9118280050832959</v>
      </c>
      <c r="N150" s="166">
        <v>7.1643803190103078E-2</v>
      </c>
      <c r="O150" s="166">
        <v>12.736859811228813</v>
      </c>
      <c r="P150" s="166">
        <v>9.365703700377793</v>
      </c>
      <c r="Q150" s="166">
        <v>8.6705473297139495</v>
      </c>
      <c r="R150" s="166">
        <v>4.958306900194418</v>
      </c>
      <c r="S150" s="166">
        <v>3.9827079374728256</v>
      </c>
      <c r="T150" s="166">
        <v>3.0909880488314547</v>
      </c>
      <c r="U150" s="166">
        <v>3.2374030400630649</v>
      </c>
      <c r="V150" s="166">
        <v>4.7010840655050314</v>
      </c>
      <c r="W150" s="166">
        <v>5.9288613905609413</v>
      </c>
      <c r="X150" s="166">
        <v>9.6630535076640864</v>
      </c>
      <c r="Y150" s="166">
        <v>11.265714554843759</v>
      </c>
      <c r="Z150" s="166">
        <v>13.36452427462979</v>
      </c>
      <c r="AA150" s="166"/>
      <c r="AB150" s="166">
        <v>20.913191812372524</v>
      </c>
      <c r="AC150" s="166">
        <v>18.091482232714714</v>
      </c>
      <c r="AD150" s="166">
        <v>18.18011533093804</v>
      </c>
      <c r="AE150" s="166">
        <v>17.226137658200241</v>
      </c>
      <c r="AF150" s="166">
        <v>15.863631649403732</v>
      </c>
      <c r="AG150" s="166">
        <v>14.409152188982665</v>
      </c>
      <c r="AH150" s="166">
        <v>15.752886974697182</v>
      </c>
      <c r="AI150" s="166">
        <v>17.024948285979487</v>
      </c>
      <c r="AJ150" s="166">
        <v>18.277074312872941</v>
      </c>
      <c r="AK150" s="166">
        <v>18.918511255311735</v>
      </c>
      <c r="AL150" s="166">
        <v>19.945265214667586</v>
      </c>
      <c r="AM150" s="32">
        <v>20.938640977660512</v>
      </c>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c r="BT150" s="32"/>
      <c r="BU150" s="32"/>
      <c r="BV150" s="32"/>
      <c r="BW150" s="32"/>
      <c r="BX150" s="32"/>
      <c r="BY150" s="32"/>
      <c r="BZ150" s="32"/>
      <c r="CA150" s="32"/>
      <c r="CB150" s="32"/>
      <c r="CC150" s="32"/>
      <c r="CD150" s="32"/>
      <c r="CE150" s="32"/>
      <c r="CF150" s="32"/>
      <c r="CG150" s="32"/>
      <c r="CH150" s="32"/>
      <c r="CI150" s="32"/>
      <c r="CJ150" s="32"/>
      <c r="CK150" s="32"/>
      <c r="CL150" s="32"/>
      <c r="CM150" s="32"/>
      <c r="CN150" s="32"/>
      <c r="CO150" s="32"/>
      <c r="CP150" s="32"/>
      <c r="CQ150" s="32"/>
      <c r="CR150" s="32"/>
      <c r="CS150" s="32"/>
      <c r="CT150" s="32"/>
      <c r="CU150" s="32"/>
      <c r="CV150" s="32"/>
      <c r="CW150" s="32"/>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row>
    <row r="151" spans="1:131">
      <c r="A151" s="11" t="s">
        <v>530</v>
      </c>
      <c r="B151" s="11"/>
      <c r="C151" s="166">
        <v>306.50679245488732</v>
      </c>
      <c r="D151" s="166">
        <v>-8.5918959509302795</v>
      </c>
      <c r="E151" s="166">
        <v>-1.7183791901860559</v>
      </c>
      <c r="F151" s="166">
        <v>-10.310275141116335</v>
      </c>
      <c r="G151" s="166">
        <v>-773.49538233721773</v>
      </c>
      <c r="H151" s="166">
        <v>221.05582654881036</v>
      </c>
      <c r="I151" s="166">
        <v>-294.66887018326815</v>
      </c>
      <c r="J151" s="166">
        <v>-18.444312714747589</v>
      </c>
      <c r="K151" s="166">
        <v>-203.4661315768839</v>
      </c>
      <c r="L151" s="383">
        <v>9999</v>
      </c>
      <c r="M151" s="166">
        <v>2.9118280050832959</v>
      </c>
      <c r="N151" s="166">
        <v>7.1643803190103078E-2</v>
      </c>
      <c r="O151" s="166">
        <v>12.736859811228813</v>
      </c>
      <c r="P151" s="166">
        <v>9.365703700377793</v>
      </c>
      <c r="Q151" s="166">
        <v>8.6705473297139495</v>
      </c>
      <c r="R151" s="166">
        <v>4.958306900194418</v>
      </c>
      <c r="S151" s="166">
        <v>3.9827079374728256</v>
      </c>
      <c r="T151" s="166">
        <v>3.0909880488314547</v>
      </c>
      <c r="U151" s="166">
        <v>3.2374030400630649</v>
      </c>
      <c r="V151" s="166">
        <v>4.7010840655050314</v>
      </c>
      <c r="W151" s="166">
        <v>5.9288613905609413</v>
      </c>
      <c r="X151" s="166">
        <v>9.6630535076640864</v>
      </c>
      <c r="Y151" s="166">
        <v>11.265714554843759</v>
      </c>
      <c r="Z151" s="166">
        <v>13.36452427462979</v>
      </c>
      <c r="AA151" s="166"/>
      <c r="AB151" s="166">
        <v>20.913191812372524</v>
      </c>
      <c r="AC151" s="166">
        <v>18.091482232714714</v>
      </c>
      <c r="AD151" s="166">
        <v>18.18011533093804</v>
      </c>
      <c r="AE151" s="166">
        <v>17.226137658200241</v>
      </c>
      <c r="AF151" s="166">
        <v>15.863631649403732</v>
      </c>
      <c r="AG151" s="166">
        <v>14.409152188982665</v>
      </c>
      <c r="AH151" s="166">
        <v>15.752886974697182</v>
      </c>
      <c r="AI151" s="166">
        <v>17.024948285979487</v>
      </c>
      <c r="AJ151" s="166">
        <v>18.277074312872941</v>
      </c>
      <c r="AK151" s="166">
        <v>18.918511255311735</v>
      </c>
      <c r="AL151" s="166">
        <v>19.945265214667586</v>
      </c>
      <c r="AM151" s="32">
        <v>20.938640977660512</v>
      </c>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c r="CF151" s="32"/>
      <c r="CG151" s="32"/>
      <c r="CH151" s="32"/>
      <c r="CI151" s="32"/>
      <c r="CJ151" s="32"/>
      <c r="CK151" s="32"/>
      <c r="CL151" s="32"/>
      <c r="CM151" s="32"/>
      <c r="CN151" s="32"/>
      <c r="CO151" s="32"/>
      <c r="CP151" s="32"/>
      <c r="CQ151" s="32"/>
      <c r="CR151" s="32"/>
      <c r="CS151" s="32"/>
      <c r="CT151" s="32"/>
      <c r="CU151" s="32"/>
      <c r="CV151" s="32"/>
      <c r="CW151" s="32"/>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row>
    <row r="152" spans="1:131">
      <c r="A152" s="11" t="s">
        <v>843</v>
      </c>
      <c r="B152" s="11"/>
      <c r="C152" s="166">
        <v>754.1040131826594</v>
      </c>
      <c r="D152" s="166">
        <v>2.0115772129567233</v>
      </c>
      <c r="E152" s="166">
        <v>0.40231544259134466</v>
      </c>
      <c r="F152" s="166">
        <v>2.413892655548068</v>
      </c>
      <c r="G152" s="166">
        <v>-758.14643825481573</v>
      </c>
      <c r="H152" s="166">
        <v>543.86750976294604</v>
      </c>
      <c r="I152" s="166">
        <v>28.040826322295615</v>
      </c>
      <c r="J152" s="166">
        <v>-17.712912269680494</v>
      </c>
      <c r="K152" s="166">
        <v>-91.752655200414054</v>
      </c>
      <c r="L152" s="383">
        <v>448.14519380033875</v>
      </c>
      <c r="M152" s="166">
        <v>7.1640212823477789</v>
      </c>
      <c r="N152" s="166">
        <v>0.1762664999121584</v>
      </c>
      <c r="O152" s="166">
        <v>31.336718583182005</v>
      </c>
      <c r="P152" s="166">
        <v>23.042604342199336</v>
      </c>
      <c r="Q152" s="166">
        <v>21.332298985804162</v>
      </c>
      <c r="R152" s="166">
        <v>12.19900904016087</v>
      </c>
      <c r="S152" s="166">
        <v>9.7987258779093338</v>
      </c>
      <c r="T152" s="166">
        <v>7.6048118661726276</v>
      </c>
      <c r="U152" s="166">
        <v>7.965039225551986</v>
      </c>
      <c r="V152" s="166">
        <v>11.566159208782222</v>
      </c>
      <c r="W152" s="166">
        <v>14.586881198999142</v>
      </c>
      <c r="X152" s="166">
        <v>23.774179264887835</v>
      </c>
      <c r="Y152" s="166">
        <v>27.717234222234651</v>
      </c>
      <c r="Z152" s="166">
        <v>32.880972421708215</v>
      </c>
      <c r="AA152" s="166"/>
      <c r="AB152" s="166">
        <v>51.453090966948281</v>
      </c>
      <c r="AC152" s="166">
        <v>44.510789620171131</v>
      </c>
      <c r="AD152" s="166">
        <v>44.728855179292005</v>
      </c>
      <c r="AE152" s="166">
        <v>42.381767254302176</v>
      </c>
      <c r="AF152" s="166">
        <v>39.029569931072679</v>
      </c>
      <c r="AG152" s="166">
        <v>35.451088718925604</v>
      </c>
      <c r="AH152" s="166">
        <v>38.757102874254976</v>
      </c>
      <c r="AI152" s="166">
        <v>41.886777528997158</v>
      </c>
      <c r="AJ152" s="166">
        <v>44.967405055481052</v>
      </c>
      <c r="AK152" s="166">
        <v>46.545543564655858</v>
      </c>
      <c r="AL152" s="166">
        <v>49.071684258309148</v>
      </c>
      <c r="AM152" s="32">
        <v>51.515703992656817</v>
      </c>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c r="CA152" s="32"/>
      <c r="CB152" s="32"/>
      <c r="CC152" s="32"/>
      <c r="CD152" s="32"/>
      <c r="CE152" s="32"/>
      <c r="CF152" s="32"/>
      <c r="CG152" s="32"/>
      <c r="CH152" s="32"/>
      <c r="CI152" s="32"/>
      <c r="CJ152" s="32"/>
      <c r="CK152" s="32"/>
      <c r="CL152" s="32"/>
      <c r="CM152" s="32"/>
      <c r="CN152" s="32"/>
      <c r="CO152" s="32"/>
      <c r="CP152" s="32"/>
      <c r="CQ152" s="32"/>
      <c r="CR152" s="32"/>
      <c r="CS152" s="32"/>
      <c r="CT152" s="32"/>
      <c r="CU152" s="32"/>
      <c r="CV152" s="32"/>
      <c r="CW152" s="32"/>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row>
    <row r="153" spans="1:131">
      <c r="A153" s="11" t="s">
        <v>841</v>
      </c>
      <c r="B153" s="11"/>
      <c r="C153" s="166">
        <v>462.19278227324287</v>
      </c>
      <c r="D153" s="166">
        <v>2.0115772129567233</v>
      </c>
      <c r="E153" s="166">
        <v>0.40231544259134466</v>
      </c>
      <c r="F153" s="166">
        <v>2.413892655548068</v>
      </c>
      <c r="G153" s="166">
        <v>-758.14643825481573</v>
      </c>
      <c r="H153" s="166">
        <v>333.33815114503147</v>
      </c>
      <c r="I153" s="166">
        <v>45.750821894271795</v>
      </c>
      <c r="J153" s="166">
        <v>-17.6727737216798</v>
      </c>
      <c r="K153" s="166">
        <v>-138.47445955603453</v>
      </c>
      <c r="L153" s="383">
        <v>375.84397843840912</v>
      </c>
      <c r="M153" s="166">
        <v>4.3908517536970244</v>
      </c>
      <c r="N153" s="166">
        <v>0.10803430639777449</v>
      </c>
      <c r="O153" s="166">
        <v>19.206375905821229</v>
      </c>
      <c r="P153" s="166">
        <v>14.122886532315722</v>
      </c>
      <c r="Q153" s="166">
        <v>13.074634862267068</v>
      </c>
      <c r="R153" s="166">
        <v>7.4768119923566623</v>
      </c>
      <c r="S153" s="166">
        <v>6.0056706993637858</v>
      </c>
      <c r="T153" s="166">
        <v>4.6610137244283845</v>
      </c>
      <c r="U153" s="166">
        <v>4.881798235015733</v>
      </c>
      <c r="V153" s="166">
        <v>7.0889362892536205</v>
      </c>
      <c r="W153" s="166">
        <v>8.9403465413220555</v>
      </c>
      <c r="X153" s="166">
        <v>14.571271162350607</v>
      </c>
      <c r="Y153" s="166">
        <v>16.987982265240593</v>
      </c>
      <c r="Z153" s="166">
        <v>20.152854064917939</v>
      </c>
      <c r="AA153" s="166"/>
      <c r="AB153" s="166">
        <v>31.535765431355397</v>
      </c>
      <c r="AC153" s="166">
        <v>27.280806541395208</v>
      </c>
      <c r="AD153" s="166">
        <v>27.414459626017681</v>
      </c>
      <c r="AE153" s="166">
        <v>25.975921865540045</v>
      </c>
      <c r="AF153" s="166">
        <v>23.92134931259293</v>
      </c>
      <c r="AG153" s="166">
        <v>21.728086634180208</v>
      </c>
      <c r="AH153" s="166">
        <v>23.754353374543371</v>
      </c>
      <c r="AI153" s="166">
        <v>25.67254106615955</v>
      </c>
      <c r="AJ153" s="166">
        <v>27.560667614649677</v>
      </c>
      <c r="AK153" s="166">
        <v>28.5279137976923</v>
      </c>
      <c r="AL153" s="166">
        <v>30.076193577673347</v>
      </c>
      <c r="AM153" s="32">
        <v>31.574141156789665</v>
      </c>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c r="BT153" s="32"/>
      <c r="BU153" s="32"/>
      <c r="BV153" s="32"/>
      <c r="BW153" s="32"/>
      <c r="BX153" s="32"/>
      <c r="BY153" s="32"/>
      <c r="BZ153" s="32"/>
      <c r="CA153" s="32"/>
      <c r="CB153" s="32"/>
      <c r="CC153" s="32"/>
      <c r="CD153" s="32"/>
      <c r="CE153" s="32"/>
      <c r="CF153" s="32"/>
      <c r="CG153" s="32"/>
      <c r="CH153" s="32"/>
      <c r="CI153" s="32"/>
      <c r="CJ153" s="32"/>
      <c r="CK153" s="32"/>
      <c r="CL153" s="32"/>
      <c r="CM153" s="32"/>
      <c r="CN153" s="32"/>
      <c r="CO153" s="32"/>
      <c r="CP153" s="32"/>
      <c r="CQ153" s="32"/>
      <c r="CR153" s="32"/>
      <c r="CS153" s="32"/>
      <c r="CT153" s="32"/>
      <c r="CU153" s="32"/>
      <c r="CV153" s="32"/>
      <c r="CW153" s="32"/>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row>
    <row r="154" spans="1:131">
      <c r="A154" s="11" t="s">
        <v>842</v>
      </c>
      <c r="B154" s="11"/>
      <c r="C154" s="166">
        <v>754.1040131826594</v>
      </c>
      <c r="D154" s="166">
        <v>2.0115772129567233</v>
      </c>
      <c r="E154" s="166">
        <v>0.40231544259134466</v>
      </c>
      <c r="F154" s="166">
        <v>2.413892655548068</v>
      </c>
      <c r="G154" s="166">
        <v>-154.99245357496551</v>
      </c>
      <c r="H154" s="166">
        <v>543.86750976294604</v>
      </c>
      <c r="I154" s="166">
        <v>28.040826322295615</v>
      </c>
      <c r="J154" s="166">
        <v>-17.712912269680494</v>
      </c>
      <c r="K154" s="166">
        <v>-32.899864160194042</v>
      </c>
      <c r="L154" s="383">
        <v>241.00654848727098</v>
      </c>
      <c r="M154" s="166">
        <v>7.1640212823477789</v>
      </c>
      <c r="N154" s="166">
        <v>0.1762664999121584</v>
      </c>
      <c r="O154" s="166">
        <v>31.336718583182005</v>
      </c>
      <c r="P154" s="166">
        <v>23.042604342199336</v>
      </c>
      <c r="Q154" s="166">
        <v>21.332298985804162</v>
      </c>
      <c r="R154" s="166">
        <v>12.19900904016087</v>
      </c>
      <c r="S154" s="166">
        <v>9.7987258779093338</v>
      </c>
      <c r="T154" s="166">
        <v>7.6048118661726276</v>
      </c>
      <c r="U154" s="166">
        <v>7.965039225551986</v>
      </c>
      <c r="V154" s="166">
        <v>11.566159208782222</v>
      </c>
      <c r="W154" s="166">
        <v>14.586881198999142</v>
      </c>
      <c r="X154" s="166">
        <v>23.774179264887835</v>
      </c>
      <c r="Y154" s="166">
        <v>27.717234222234651</v>
      </c>
      <c r="Z154" s="166">
        <v>32.880972421708215</v>
      </c>
      <c r="AA154" s="166"/>
      <c r="AB154" s="166">
        <v>51.453090966948281</v>
      </c>
      <c r="AC154" s="166">
        <v>44.510789620171131</v>
      </c>
      <c r="AD154" s="166">
        <v>44.728855179292005</v>
      </c>
      <c r="AE154" s="166">
        <v>42.381767254302176</v>
      </c>
      <c r="AF154" s="166">
        <v>39.029569931072679</v>
      </c>
      <c r="AG154" s="166">
        <v>35.451088718925604</v>
      </c>
      <c r="AH154" s="166">
        <v>38.757102874254976</v>
      </c>
      <c r="AI154" s="166">
        <v>41.886777528997158</v>
      </c>
      <c r="AJ154" s="166">
        <v>44.967405055481052</v>
      </c>
      <c r="AK154" s="166">
        <v>46.545543564655858</v>
      </c>
      <c r="AL154" s="166">
        <v>49.071684258309148</v>
      </c>
      <c r="AM154" s="32">
        <v>51.515703992656817</v>
      </c>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c r="BT154" s="32"/>
      <c r="BU154" s="32"/>
      <c r="BV154" s="32"/>
      <c r="BW154" s="32"/>
      <c r="BX154" s="32"/>
      <c r="BY154" s="32"/>
      <c r="BZ154" s="32"/>
      <c r="CA154" s="32"/>
      <c r="CB154" s="32"/>
      <c r="CC154" s="32"/>
      <c r="CD154" s="32"/>
      <c r="CE154" s="32"/>
      <c r="CF154" s="32"/>
      <c r="CG154" s="32"/>
      <c r="CH154" s="32"/>
      <c r="CI154" s="32"/>
      <c r="CJ154" s="32"/>
      <c r="CK154" s="32"/>
      <c r="CL154" s="32"/>
      <c r="CM154" s="32"/>
      <c r="CN154" s="32"/>
      <c r="CO154" s="32"/>
      <c r="CP154" s="32"/>
      <c r="CQ154" s="32"/>
      <c r="CR154" s="32"/>
      <c r="CS154" s="32"/>
      <c r="CT154" s="32"/>
      <c r="CU154" s="32"/>
      <c r="CV154" s="32"/>
      <c r="CW154" s="32"/>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row>
    <row r="155" spans="1:131">
      <c r="A155" s="11" t="s">
        <v>840</v>
      </c>
      <c r="B155" s="11"/>
      <c r="C155" s="166">
        <v>462.19278227324287</v>
      </c>
      <c r="D155" s="166">
        <v>2.0115772129567233</v>
      </c>
      <c r="E155" s="166">
        <v>0.40231544259134466</v>
      </c>
      <c r="F155" s="166">
        <v>2.413892655548068</v>
      </c>
      <c r="G155" s="166">
        <v>-154.99245357496551</v>
      </c>
      <c r="H155" s="166">
        <v>333.33815114503147</v>
      </c>
      <c r="I155" s="166">
        <v>45.750821894271795</v>
      </c>
      <c r="J155" s="166">
        <v>-17.6727737216798</v>
      </c>
      <c r="K155" s="166">
        <v>-42.451484700938742</v>
      </c>
      <c r="L155" s="383">
        <v>168.70533312534138</v>
      </c>
      <c r="M155" s="166">
        <v>4.3908517536970244</v>
      </c>
      <c r="N155" s="166">
        <v>0.10803430639777449</v>
      </c>
      <c r="O155" s="166">
        <v>19.206375905821229</v>
      </c>
      <c r="P155" s="166">
        <v>14.122886532315722</v>
      </c>
      <c r="Q155" s="166">
        <v>13.074634862267068</v>
      </c>
      <c r="R155" s="166">
        <v>7.4768119923566623</v>
      </c>
      <c r="S155" s="166">
        <v>6.0056706993637858</v>
      </c>
      <c r="T155" s="166">
        <v>4.6610137244283845</v>
      </c>
      <c r="U155" s="166">
        <v>4.881798235015733</v>
      </c>
      <c r="V155" s="166">
        <v>7.0889362892536205</v>
      </c>
      <c r="W155" s="166">
        <v>8.9403465413220555</v>
      </c>
      <c r="X155" s="166">
        <v>14.571271162350607</v>
      </c>
      <c r="Y155" s="166">
        <v>16.987982265240593</v>
      </c>
      <c r="Z155" s="166">
        <v>20.152854064917939</v>
      </c>
      <c r="AA155" s="166"/>
      <c r="AB155" s="166">
        <v>31.535765431355397</v>
      </c>
      <c r="AC155" s="166">
        <v>27.280806541395208</v>
      </c>
      <c r="AD155" s="166">
        <v>27.414459626017681</v>
      </c>
      <c r="AE155" s="166">
        <v>25.975921865540045</v>
      </c>
      <c r="AF155" s="166">
        <v>23.92134931259293</v>
      </c>
      <c r="AG155" s="166">
        <v>21.728086634180208</v>
      </c>
      <c r="AH155" s="166">
        <v>23.754353374543371</v>
      </c>
      <c r="AI155" s="166">
        <v>25.67254106615955</v>
      </c>
      <c r="AJ155" s="166">
        <v>27.560667614649677</v>
      </c>
      <c r="AK155" s="166">
        <v>28.5279137976923</v>
      </c>
      <c r="AL155" s="166">
        <v>30.076193577673347</v>
      </c>
      <c r="AM155" s="32">
        <v>31.574141156789665</v>
      </c>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c r="CA155" s="32"/>
      <c r="CB155" s="32"/>
      <c r="CC155" s="32"/>
      <c r="CD155" s="32"/>
      <c r="CE155" s="32"/>
      <c r="CF155" s="32"/>
      <c r="CG155" s="32"/>
      <c r="CH155" s="32"/>
      <c r="CI155" s="32"/>
      <c r="CJ155" s="32"/>
      <c r="CK155" s="32"/>
      <c r="CL155" s="32"/>
      <c r="CM155" s="32"/>
      <c r="CN155" s="32"/>
      <c r="CO155" s="32"/>
      <c r="CP155" s="32"/>
      <c r="CQ155" s="32"/>
      <c r="CR155" s="32"/>
      <c r="CS155" s="32"/>
      <c r="CT155" s="32"/>
      <c r="CU155" s="32"/>
      <c r="CV155" s="32"/>
      <c r="CW155" s="32"/>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row>
    <row r="156" spans="1:131">
      <c r="A156" s="11" t="s">
        <v>956</v>
      </c>
      <c r="B156" s="11"/>
      <c r="C156" s="166">
        <v>1352.5220365469634</v>
      </c>
      <c r="D156" s="166">
        <v>134.02315442591345</v>
      </c>
      <c r="E156" s="166">
        <v>26.804630885182689</v>
      </c>
      <c r="F156" s="166">
        <v>160.82778531109614</v>
      </c>
      <c r="G156" s="166">
        <v>-567.05449266737605</v>
      </c>
      <c r="H156" s="166">
        <v>975.45269492967157</v>
      </c>
      <c r="I156" s="166">
        <v>1041.6476488043402</v>
      </c>
      <c r="J156" s="166">
        <v>-15.415638623694418</v>
      </c>
      <c r="K156" s="166">
        <v>-48.626137637533823</v>
      </c>
      <c r="L156" s="383">
        <v>8.9509129488129116</v>
      </c>
      <c r="M156" s="166">
        <v>12.849018816081845</v>
      </c>
      <c r="N156" s="166">
        <v>0.3161424966166454</v>
      </c>
      <c r="O156" s="166">
        <v>56.203921071771596</v>
      </c>
      <c r="P156" s="166">
        <v>41.328025852460748</v>
      </c>
      <c r="Q156" s="166">
        <v>38.26051043905521</v>
      </c>
      <c r="R156" s="166">
        <v>21.879512988159497</v>
      </c>
      <c r="S156" s="166">
        <v>17.574488993927709</v>
      </c>
      <c r="T156" s="166">
        <v>13.639598056748326</v>
      </c>
      <c r="U156" s="166">
        <v>14.285683256151303</v>
      </c>
      <c r="V156" s="166">
        <v>20.744466193815857</v>
      </c>
      <c r="W156" s="166">
        <v>26.162277247237174</v>
      </c>
      <c r="X156" s="166">
        <v>42.640140875089152</v>
      </c>
      <c r="Y156" s="166">
        <v>49.712200734072475</v>
      </c>
      <c r="Z156" s="166">
        <v>58.973615053128292</v>
      </c>
      <c r="AA156" s="166"/>
      <c r="AB156" s="166">
        <v>92.283608314913693</v>
      </c>
      <c r="AC156" s="166">
        <v>79.832254931661765</v>
      </c>
      <c r="AD156" s="166">
        <v>80.223366063504372</v>
      </c>
      <c r="AE156" s="166">
        <v>76.013750301264565</v>
      </c>
      <c r="AF156" s="166">
        <v>70.001422198956163</v>
      </c>
      <c r="AG156" s="166">
        <v>63.583242992653673</v>
      </c>
      <c r="AH156" s="166">
        <v>69.512739348663771</v>
      </c>
      <c r="AI156" s="166">
        <v>75.125962277814267</v>
      </c>
      <c r="AJ156" s="166">
        <v>80.651216809185371</v>
      </c>
      <c r="AK156" s="166">
        <v>83.481684586931166</v>
      </c>
      <c r="AL156" s="166">
        <v>88.012440153612545</v>
      </c>
      <c r="AM156" s="32">
        <v>92.395907806184496</v>
      </c>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row>
    <row r="157" spans="1:131">
      <c r="A157" s="11" t="s">
        <v>532</v>
      </c>
      <c r="B157" s="11"/>
      <c r="C157" s="166">
        <v>384.34978736406504</v>
      </c>
      <c r="D157" s="166">
        <v>113.40810404906972</v>
      </c>
      <c r="E157" s="166">
        <v>22.681620809813946</v>
      </c>
      <c r="F157" s="166">
        <v>136.08972485888367</v>
      </c>
      <c r="G157" s="166">
        <v>-596.89558818386467</v>
      </c>
      <c r="H157" s="166">
        <v>277.1969888469207</v>
      </c>
      <c r="I157" s="166">
        <v>3101.7214760017355</v>
      </c>
      <c r="J157" s="166">
        <v>-10.746615875388958</v>
      </c>
      <c r="K157" s="166">
        <v>-132.04899376071984</v>
      </c>
      <c r="L157" s="383">
        <v>6.3245508604251839</v>
      </c>
      <c r="M157" s="166">
        <v>3.6513398793901684</v>
      </c>
      <c r="N157" s="166">
        <v>8.9839054793938777E-2</v>
      </c>
      <c r="O157" s="166">
        <v>15.971617858525018</v>
      </c>
      <c r="P157" s="166">
        <v>11.744295116346755</v>
      </c>
      <c r="Q157" s="166">
        <v>10.872591095990506</v>
      </c>
      <c r="R157" s="166">
        <v>6.2175594462755388</v>
      </c>
      <c r="S157" s="166">
        <v>4.9941893184183046</v>
      </c>
      <c r="T157" s="166">
        <v>3.8760008866299192</v>
      </c>
      <c r="U157" s="166">
        <v>4.0596006375393987</v>
      </c>
      <c r="V157" s="166">
        <v>5.8950101773793246</v>
      </c>
      <c r="W157" s="166">
        <v>7.4346039659414966</v>
      </c>
      <c r="X157" s="166">
        <v>12.117162335007345</v>
      </c>
      <c r="Y157" s="166">
        <v>14.126848410042173</v>
      </c>
      <c r="Z157" s="166">
        <v>16.758689169773863</v>
      </c>
      <c r="AA157" s="166"/>
      <c r="AB157" s="166">
        <v>26.224478621863955</v>
      </c>
      <c r="AC157" s="166">
        <v>22.686144387054959</v>
      </c>
      <c r="AD157" s="166">
        <v>22.797287478477855</v>
      </c>
      <c r="AE157" s="166">
        <v>21.601029761870137</v>
      </c>
      <c r="AF157" s="166">
        <v>19.89249048099833</v>
      </c>
      <c r="AG157" s="166">
        <v>18.068619411581434</v>
      </c>
      <c r="AH157" s="166">
        <v>19.753620174620274</v>
      </c>
      <c r="AI157" s="166">
        <v>21.348744676069515</v>
      </c>
      <c r="AJ157" s="166">
        <v>22.918870963761304</v>
      </c>
      <c r="AK157" s="166">
        <v>23.723212526502014</v>
      </c>
      <c r="AL157" s="166">
        <v>25.010729396170465</v>
      </c>
      <c r="AM157" s="32">
        <v>26.256391067225085</v>
      </c>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c r="CA157" s="32"/>
      <c r="CB157" s="32"/>
      <c r="CC157" s="32"/>
      <c r="CD157" s="32"/>
      <c r="CE157" s="32"/>
      <c r="CF157" s="32"/>
      <c r="CG157" s="32"/>
      <c r="CH157" s="32"/>
      <c r="CI157" s="32"/>
      <c r="CJ157" s="32"/>
      <c r="CK157" s="32"/>
      <c r="CL157" s="32"/>
      <c r="CM157" s="32"/>
      <c r="CN157" s="32"/>
      <c r="CO157" s="32"/>
      <c r="CP157" s="32"/>
      <c r="CQ157" s="32"/>
      <c r="CR157" s="32"/>
      <c r="CS157" s="32"/>
      <c r="CT157" s="32"/>
      <c r="CU157" s="32"/>
      <c r="CV157" s="32"/>
      <c r="CW157" s="32"/>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row>
    <row r="158" spans="1:131">
      <c r="A158" s="11" t="s">
        <v>534</v>
      </c>
      <c r="B158" s="11"/>
      <c r="C158" s="166">
        <v>306.50679245488732</v>
      </c>
      <c r="D158" s="166">
        <v>113.40810404906972</v>
      </c>
      <c r="E158" s="166">
        <v>22.681620809813946</v>
      </c>
      <c r="F158" s="166">
        <v>136.08972485888367</v>
      </c>
      <c r="G158" s="166">
        <v>-596.89558818386467</v>
      </c>
      <c r="H158" s="166">
        <v>221.05582654881036</v>
      </c>
      <c r="I158" s="166">
        <v>3889.4602635577317</v>
      </c>
      <c r="J158" s="166">
        <v>-8.9612573749971869</v>
      </c>
      <c r="K158" s="166">
        <v>-161.07058837406288</v>
      </c>
      <c r="L158" s="383">
        <v>5.9825659472995047</v>
      </c>
      <c r="M158" s="166">
        <v>2.9118280050832959</v>
      </c>
      <c r="N158" s="166">
        <v>7.1643803190103078E-2</v>
      </c>
      <c r="O158" s="166">
        <v>12.736859811228813</v>
      </c>
      <c r="P158" s="166">
        <v>9.365703700377793</v>
      </c>
      <c r="Q158" s="166">
        <v>8.6705473297139495</v>
      </c>
      <c r="R158" s="166">
        <v>4.958306900194418</v>
      </c>
      <c r="S158" s="166">
        <v>3.9827079374728256</v>
      </c>
      <c r="T158" s="166">
        <v>3.0909880488314547</v>
      </c>
      <c r="U158" s="166">
        <v>3.2374030400630649</v>
      </c>
      <c r="V158" s="166">
        <v>4.7010840655050314</v>
      </c>
      <c r="W158" s="166">
        <v>5.9288613905609413</v>
      </c>
      <c r="X158" s="166">
        <v>9.6630535076640864</v>
      </c>
      <c r="Y158" s="166">
        <v>11.265714554843759</v>
      </c>
      <c r="Z158" s="166">
        <v>13.36452427462979</v>
      </c>
      <c r="AA158" s="166"/>
      <c r="AB158" s="166">
        <v>20.913191812372524</v>
      </c>
      <c r="AC158" s="166">
        <v>18.091482232714714</v>
      </c>
      <c r="AD158" s="166">
        <v>18.18011533093804</v>
      </c>
      <c r="AE158" s="166">
        <v>17.226137658200241</v>
      </c>
      <c r="AF158" s="166">
        <v>15.863631649403732</v>
      </c>
      <c r="AG158" s="166">
        <v>14.409152188982665</v>
      </c>
      <c r="AH158" s="166">
        <v>15.752886974697182</v>
      </c>
      <c r="AI158" s="166">
        <v>17.024948285979487</v>
      </c>
      <c r="AJ158" s="166">
        <v>18.277074312872941</v>
      </c>
      <c r="AK158" s="166">
        <v>18.918511255311735</v>
      </c>
      <c r="AL158" s="166">
        <v>19.945265214667586</v>
      </c>
      <c r="AM158" s="32">
        <v>20.938640977660512</v>
      </c>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c r="BS158" s="32"/>
      <c r="BT158" s="32"/>
      <c r="BU158" s="32"/>
      <c r="BV158" s="32"/>
      <c r="BW158" s="32"/>
      <c r="BX158" s="32"/>
      <c r="BY158" s="32"/>
      <c r="BZ158" s="32"/>
      <c r="CA158" s="32"/>
      <c r="CB158" s="32"/>
      <c r="CC158" s="32"/>
      <c r="CD158" s="32"/>
      <c r="CE158" s="32"/>
      <c r="CF158" s="32"/>
      <c r="CG158" s="32"/>
      <c r="CH158" s="32"/>
      <c r="CI158" s="32"/>
      <c r="CJ158" s="32"/>
      <c r="CK158" s="32"/>
      <c r="CL158" s="32"/>
      <c r="CM158" s="32"/>
      <c r="CN158" s="32"/>
      <c r="CO158" s="32"/>
      <c r="CP158" s="32"/>
      <c r="CQ158" s="32"/>
      <c r="CR158" s="32"/>
      <c r="CS158" s="32"/>
      <c r="CT158" s="32"/>
      <c r="CU158" s="32"/>
      <c r="CV158" s="32"/>
      <c r="CW158" s="32"/>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row>
    <row r="159" spans="1:131">
      <c r="A159" s="11" t="s">
        <v>955</v>
      </c>
      <c r="B159" s="11"/>
      <c r="C159" s="166">
        <v>1352.5220365469634</v>
      </c>
      <c r="D159" s="166">
        <v>134.02315442591345</v>
      </c>
      <c r="E159" s="166">
        <v>26.804630885182689</v>
      </c>
      <c r="F159" s="166">
        <v>160.82778531109614</v>
      </c>
      <c r="G159" s="166">
        <v>17.621484587567153</v>
      </c>
      <c r="H159" s="166">
        <v>975.45269492967157</v>
      </c>
      <c r="I159" s="166">
        <v>1041.6476488043402</v>
      </c>
      <c r="J159" s="166">
        <v>-15.415638623694418</v>
      </c>
      <c r="K159" s="166">
        <v>-16.817796908863954</v>
      </c>
      <c r="L159" s="383">
        <v>5.9371780140292154</v>
      </c>
      <c r="M159" s="166">
        <v>12.849018816081845</v>
      </c>
      <c r="N159" s="166">
        <v>0.3161424966166454</v>
      </c>
      <c r="O159" s="166">
        <v>56.203921071771596</v>
      </c>
      <c r="P159" s="166">
        <v>41.328025852460748</v>
      </c>
      <c r="Q159" s="166">
        <v>38.26051043905521</v>
      </c>
      <c r="R159" s="166">
        <v>21.879512988159497</v>
      </c>
      <c r="S159" s="166">
        <v>17.574488993927709</v>
      </c>
      <c r="T159" s="166">
        <v>13.639598056748326</v>
      </c>
      <c r="U159" s="166">
        <v>14.285683256151303</v>
      </c>
      <c r="V159" s="166">
        <v>20.744466193815857</v>
      </c>
      <c r="W159" s="166">
        <v>26.162277247237174</v>
      </c>
      <c r="X159" s="166">
        <v>42.640140875089152</v>
      </c>
      <c r="Y159" s="166">
        <v>49.712200734072475</v>
      </c>
      <c r="Z159" s="166">
        <v>58.973615053128292</v>
      </c>
      <c r="AA159" s="166"/>
      <c r="AB159" s="166">
        <v>92.283608314913693</v>
      </c>
      <c r="AC159" s="166">
        <v>79.832254931661765</v>
      </c>
      <c r="AD159" s="166">
        <v>80.223366063504372</v>
      </c>
      <c r="AE159" s="166">
        <v>76.013750301264565</v>
      </c>
      <c r="AF159" s="166">
        <v>70.001422198956163</v>
      </c>
      <c r="AG159" s="166">
        <v>63.583242992653673</v>
      </c>
      <c r="AH159" s="166">
        <v>69.512739348663771</v>
      </c>
      <c r="AI159" s="166">
        <v>75.125962277814267</v>
      </c>
      <c r="AJ159" s="166">
        <v>80.651216809185371</v>
      </c>
      <c r="AK159" s="166">
        <v>83.481684586931166</v>
      </c>
      <c r="AL159" s="166">
        <v>88.012440153612545</v>
      </c>
      <c r="AM159" s="32">
        <v>92.395907806184496</v>
      </c>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c r="BT159" s="32"/>
      <c r="BU159" s="32"/>
      <c r="BV159" s="32"/>
      <c r="BW159" s="32"/>
      <c r="BX159" s="32"/>
      <c r="BY159" s="32"/>
      <c r="BZ159" s="32"/>
      <c r="CA159" s="32"/>
      <c r="CB159" s="32"/>
      <c r="CC159" s="32"/>
      <c r="CD159" s="32"/>
      <c r="CE159" s="32"/>
      <c r="CF159" s="32"/>
      <c r="CG159" s="32"/>
      <c r="CH159" s="32"/>
      <c r="CI159" s="32"/>
      <c r="CJ159" s="32"/>
      <c r="CK159" s="32"/>
      <c r="CL159" s="32"/>
      <c r="CM159" s="32"/>
      <c r="CN159" s="32"/>
      <c r="CO159" s="32"/>
      <c r="CP159" s="32"/>
      <c r="CQ159" s="32"/>
      <c r="CR159" s="32"/>
      <c r="CS159" s="32"/>
      <c r="CT159" s="32"/>
      <c r="CU159" s="32"/>
      <c r="CV159" s="32"/>
      <c r="CW159" s="32"/>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row>
    <row r="160" spans="1:131">
      <c r="A160" s="11" t="s">
        <v>847</v>
      </c>
      <c r="B160" s="11"/>
      <c r="C160" s="166">
        <v>754.1040131826594</v>
      </c>
      <c r="D160" s="166">
        <v>162.01157721295672</v>
      </c>
      <c r="E160" s="166">
        <v>32.402315442591345</v>
      </c>
      <c r="F160" s="166">
        <v>194.41389265554807</v>
      </c>
      <c r="G160" s="166">
        <v>-526.5401508405821</v>
      </c>
      <c r="H160" s="166">
        <v>543.86750976294604</v>
      </c>
      <c r="I160" s="166">
        <v>2258.3962820657789</v>
      </c>
      <c r="J160" s="166">
        <v>-12.657957334477748</v>
      </c>
      <c r="K160" s="166">
        <v>-69.153655968027167</v>
      </c>
      <c r="L160" s="383">
        <v>5.564285438440514</v>
      </c>
      <c r="M160" s="166">
        <v>7.1640212823477789</v>
      </c>
      <c r="N160" s="166">
        <v>0.1762664999121584</v>
      </c>
      <c r="O160" s="166">
        <v>31.336718583182005</v>
      </c>
      <c r="P160" s="166">
        <v>23.042604342199336</v>
      </c>
      <c r="Q160" s="166">
        <v>21.332298985804162</v>
      </c>
      <c r="R160" s="166">
        <v>12.19900904016087</v>
      </c>
      <c r="S160" s="166">
        <v>9.7987258779093338</v>
      </c>
      <c r="T160" s="166">
        <v>7.6048118661726276</v>
      </c>
      <c r="U160" s="166">
        <v>7.965039225551986</v>
      </c>
      <c r="V160" s="166">
        <v>11.566159208782222</v>
      </c>
      <c r="W160" s="166">
        <v>14.586881198999142</v>
      </c>
      <c r="X160" s="166">
        <v>23.774179264887835</v>
      </c>
      <c r="Y160" s="166">
        <v>27.717234222234651</v>
      </c>
      <c r="Z160" s="166">
        <v>32.880972421708215</v>
      </c>
      <c r="AA160" s="166"/>
      <c r="AB160" s="166">
        <v>51.453090966948281</v>
      </c>
      <c r="AC160" s="166">
        <v>44.510789620171131</v>
      </c>
      <c r="AD160" s="166">
        <v>44.728855179292005</v>
      </c>
      <c r="AE160" s="166">
        <v>42.381767254302176</v>
      </c>
      <c r="AF160" s="166">
        <v>39.029569931072679</v>
      </c>
      <c r="AG160" s="166">
        <v>35.451088718925604</v>
      </c>
      <c r="AH160" s="166">
        <v>38.757102874254976</v>
      </c>
      <c r="AI160" s="166">
        <v>41.886777528997158</v>
      </c>
      <c r="AJ160" s="166">
        <v>44.967405055481052</v>
      </c>
      <c r="AK160" s="166">
        <v>46.545543564655858</v>
      </c>
      <c r="AL160" s="166">
        <v>49.071684258309148</v>
      </c>
      <c r="AM160" s="32">
        <v>51.515703992656817</v>
      </c>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c r="CA160" s="32"/>
      <c r="CB160" s="32"/>
      <c r="CC160" s="32"/>
      <c r="CD160" s="32"/>
      <c r="CE160" s="32"/>
      <c r="CF160" s="32"/>
      <c r="CG160" s="32"/>
      <c r="CH160" s="32"/>
      <c r="CI160" s="32"/>
      <c r="CJ160" s="32"/>
      <c r="CK160" s="32"/>
      <c r="CL160" s="32"/>
      <c r="CM160" s="32"/>
      <c r="CN160" s="32"/>
      <c r="CO160" s="32"/>
      <c r="CP160" s="32"/>
      <c r="CQ160" s="32"/>
      <c r="CR160" s="32"/>
      <c r="CS160" s="32"/>
      <c r="CT160" s="32"/>
      <c r="CU160" s="32"/>
      <c r="CV160" s="32"/>
      <c r="CW160" s="32"/>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row>
    <row r="161" spans="1:131">
      <c r="A161" s="11" t="s">
        <v>845</v>
      </c>
      <c r="B161" s="11"/>
      <c r="C161" s="166">
        <v>462.19278227324287</v>
      </c>
      <c r="D161" s="166">
        <v>162.01157721295672</v>
      </c>
      <c r="E161" s="166">
        <v>32.402315442591345</v>
      </c>
      <c r="F161" s="166">
        <v>194.41389265554807</v>
      </c>
      <c r="G161" s="166">
        <v>-526.5401508405821</v>
      </c>
      <c r="H161" s="166">
        <v>333.33815114503147</v>
      </c>
      <c r="I161" s="166">
        <v>3684.751828633639</v>
      </c>
      <c r="J161" s="166">
        <v>-9.4252156695068887</v>
      </c>
      <c r="K161" s="166">
        <v>-101.60240817687696</v>
      </c>
      <c r="L161" s="383">
        <v>4.6665750414856051</v>
      </c>
      <c r="M161" s="166">
        <v>4.3908517536970244</v>
      </c>
      <c r="N161" s="166">
        <v>0.10803430639777449</v>
      </c>
      <c r="O161" s="166">
        <v>19.206375905821229</v>
      </c>
      <c r="P161" s="166">
        <v>14.122886532315722</v>
      </c>
      <c r="Q161" s="166">
        <v>13.074634862267068</v>
      </c>
      <c r="R161" s="166">
        <v>7.4768119923566623</v>
      </c>
      <c r="S161" s="166">
        <v>6.0056706993637858</v>
      </c>
      <c r="T161" s="166">
        <v>4.6610137244283845</v>
      </c>
      <c r="U161" s="166">
        <v>4.881798235015733</v>
      </c>
      <c r="V161" s="166">
        <v>7.0889362892536205</v>
      </c>
      <c r="W161" s="166">
        <v>8.9403465413220555</v>
      </c>
      <c r="X161" s="166">
        <v>14.571271162350607</v>
      </c>
      <c r="Y161" s="166">
        <v>16.987982265240593</v>
      </c>
      <c r="Z161" s="166">
        <v>20.152854064917939</v>
      </c>
      <c r="AA161" s="166"/>
      <c r="AB161" s="166">
        <v>31.535765431355397</v>
      </c>
      <c r="AC161" s="166">
        <v>27.280806541395208</v>
      </c>
      <c r="AD161" s="166">
        <v>27.414459626017681</v>
      </c>
      <c r="AE161" s="166">
        <v>25.975921865540045</v>
      </c>
      <c r="AF161" s="166">
        <v>23.92134931259293</v>
      </c>
      <c r="AG161" s="166">
        <v>21.728086634180208</v>
      </c>
      <c r="AH161" s="166">
        <v>23.754353374543371</v>
      </c>
      <c r="AI161" s="166">
        <v>25.67254106615955</v>
      </c>
      <c r="AJ161" s="166">
        <v>27.560667614649677</v>
      </c>
      <c r="AK161" s="166">
        <v>28.5279137976923</v>
      </c>
      <c r="AL161" s="166">
        <v>30.076193577673347</v>
      </c>
      <c r="AM161" s="32">
        <v>31.574141156789665</v>
      </c>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c r="CA161" s="32"/>
      <c r="CB161" s="32"/>
      <c r="CC161" s="32"/>
      <c r="CD161" s="32"/>
      <c r="CE161" s="32"/>
      <c r="CF161" s="32"/>
      <c r="CG161" s="32"/>
      <c r="CH161" s="32"/>
      <c r="CI161" s="32"/>
      <c r="CJ161" s="32"/>
      <c r="CK161" s="32"/>
      <c r="CL161" s="32"/>
      <c r="CM161" s="32"/>
      <c r="CN161" s="32"/>
      <c r="CO161" s="32"/>
      <c r="CP161" s="32"/>
      <c r="CQ161" s="32"/>
      <c r="CR161" s="32"/>
      <c r="CS161" s="32"/>
      <c r="CT161" s="32"/>
      <c r="CU161" s="32"/>
      <c r="CV161" s="32"/>
      <c r="CW161" s="32"/>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row>
    <row r="162" spans="1:131">
      <c r="A162" s="11" t="s">
        <v>873</v>
      </c>
      <c r="B162" s="11"/>
      <c r="C162" s="166">
        <v>3303.4620964582305</v>
      </c>
      <c r="D162" s="166">
        <v>532.0694632777404</v>
      </c>
      <c r="E162" s="166">
        <v>106.41389265554808</v>
      </c>
      <c r="F162" s="166">
        <v>638.48335593328852</v>
      </c>
      <c r="G162" s="166">
        <v>9.1331811583177824</v>
      </c>
      <c r="H162" s="166">
        <v>2382.490575026065</v>
      </c>
      <c r="I162" s="166">
        <v>1693.1068178358096</v>
      </c>
      <c r="J162" s="166">
        <v>-13.939148975778181</v>
      </c>
      <c r="K162" s="166">
        <v>-17.573031289266574</v>
      </c>
      <c r="L162" s="383">
        <v>4.0815161268153295</v>
      </c>
      <c r="M162" s="166">
        <v>31.383035165897827</v>
      </c>
      <c r="N162" s="166">
        <v>0.77216098993777771</v>
      </c>
      <c r="O162" s="166">
        <v>137.27504463213276</v>
      </c>
      <c r="P162" s="166">
        <v>100.94147321518288</v>
      </c>
      <c r="Q162" s="166">
        <v>93.449232331361458</v>
      </c>
      <c r="R162" s="166">
        <v>53.439529924317611</v>
      </c>
      <c r="S162" s="166">
        <v>42.924741103873792</v>
      </c>
      <c r="T162" s="166">
        <v>33.313982304072347</v>
      </c>
      <c r="U162" s="166">
        <v>34.892010542901922</v>
      </c>
      <c r="V162" s="166">
        <v>50.667239372665343</v>
      </c>
      <c r="W162" s="166">
        <v>63.899950542712368</v>
      </c>
      <c r="X162" s="166">
        <v>104.1462433603796</v>
      </c>
      <c r="Y162" s="166">
        <v>121.41936797998275</v>
      </c>
      <c r="Z162" s="166">
        <v>144.03987273767663</v>
      </c>
      <c r="AA162" s="166"/>
      <c r="AB162" s="166">
        <v>225.39773397779277</v>
      </c>
      <c r="AC162" s="166">
        <v>194.98597517481414</v>
      </c>
      <c r="AD162" s="166">
        <v>195.9412430112211</v>
      </c>
      <c r="AE162" s="166">
        <v>185.65948364949148</v>
      </c>
      <c r="AF162" s="166">
        <v>170.97469666579579</v>
      </c>
      <c r="AG162" s="166">
        <v>155.29864025903538</v>
      </c>
      <c r="AH162" s="166">
        <v>169.7811151717363</v>
      </c>
      <c r="AI162" s="166">
        <v>183.49110930444562</v>
      </c>
      <c r="AJ162" s="166">
        <v>196.98624537207505</v>
      </c>
      <c r="AK162" s="166">
        <v>203.89951019613758</v>
      </c>
      <c r="AL162" s="166">
        <v>214.96563620252846</v>
      </c>
      <c r="AM162" s="32">
        <v>225.67201942589662</v>
      </c>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c r="BT162" s="32"/>
      <c r="BU162" s="32"/>
      <c r="BV162" s="32"/>
      <c r="BW162" s="32"/>
      <c r="BX162" s="32"/>
      <c r="BY162" s="32"/>
      <c r="BZ162" s="32"/>
      <c r="CA162" s="32"/>
      <c r="CB162" s="32"/>
      <c r="CC162" s="32"/>
      <c r="CD162" s="32"/>
      <c r="CE162" s="32"/>
      <c r="CF162" s="32"/>
      <c r="CG162" s="32"/>
      <c r="CH162" s="32"/>
      <c r="CI162" s="32"/>
      <c r="CJ162" s="32"/>
      <c r="CK162" s="32"/>
      <c r="CL162" s="32"/>
      <c r="CM162" s="32"/>
      <c r="CN162" s="32"/>
      <c r="CO162" s="32"/>
      <c r="CP162" s="32"/>
      <c r="CQ162" s="32"/>
      <c r="CR162" s="32"/>
      <c r="CS162" s="32"/>
      <c r="CT162" s="32"/>
      <c r="CU162" s="32"/>
      <c r="CV162" s="32"/>
      <c r="CW162" s="32"/>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row>
    <row r="163" spans="1:131">
      <c r="A163" s="11" t="s">
        <v>958</v>
      </c>
      <c r="B163" s="11"/>
      <c r="C163" s="166">
        <v>1352.5220365469634</v>
      </c>
      <c r="D163" s="166">
        <v>324.02315442591345</v>
      </c>
      <c r="E163" s="166">
        <v>64.804630885182689</v>
      </c>
      <c r="F163" s="166">
        <v>388.82778531109614</v>
      </c>
      <c r="G163" s="166">
        <v>-292.02202636297363</v>
      </c>
      <c r="H163" s="166">
        <v>975.45269492967157</v>
      </c>
      <c r="I163" s="166">
        <v>2518.3555663323432</v>
      </c>
      <c r="J163" s="166">
        <v>-12.06877659937515</v>
      </c>
      <c r="K163" s="166">
        <v>-33.663445924543858</v>
      </c>
      <c r="L163" s="383">
        <v>3.702295876099039</v>
      </c>
      <c r="M163" s="166">
        <v>12.849018816081845</v>
      </c>
      <c r="N163" s="166">
        <v>0.3161424966166454</v>
      </c>
      <c r="O163" s="166">
        <v>56.203921071771596</v>
      </c>
      <c r="P163" s="166">
        <v>41.328025852460748</v>
      </c>
      <c r="Q163" s="166">
        <v>38.26051043905521</v>
      </c>
      <c r="R163" s="166">
        <v>21.879512988159497</v>
      </c>
      <c r="S163" s="166">
        <v>17.574488993927709</v>
      </c>
      <c r="T163" s="166">
        <v>13.639598056748326</v>
      </c>
      <c r="U163" s="166">
        <v>14.285683256151303</v>
      </c>
      <c r="V163" s="166">
        <v>20.744466193815857</v>
      </c>
      <c r="W163" s="166">
        <v>26.162277247237174</v>
      </c>
      <c r="X163" s="166">
        <v>42.640140875089152</v>
      </c>
      <c r="Y163" s="166">
        <v>49.712200734072475</v>
      </c>
      <c r="Z163" s="166">
        <v>58.973615053128292</v>
      </c>
      <c r="AA163" s="166"/>
      <c r="AB163" s="166">
        <v>92.283608314913693</v>
      </c>
      <c r="AC163" s="166">
        <v>79.832254931661765</v>
      </c>
      <c r="AD163" s="166">
        <v>80.223366063504372</v>
      </c>
      <c r="AE163" s="166">
        <v>76.013750301264565</v>
      </c>
      <c r="AF163" s="166">
        <v>70.001422198956163</v>
      </c>
      <c r="AG163" s="166">
        <v>63.583242992653673</v>
      </c>
      <c r="AH163" s="166">
        <v>69.512739348663771</v>
      </c>
      <c r="AI163" s="166">
        <v>75.125962277814267</v>
      </c>
      <c r="AJ163" s="166">
        <v>80.651216809185371</v>
      </c>
      <c r="AK163" s="166">
        <v>83.481684586931166</v>
      </c>
      <c r="AL163" s="166">
        <v>88.012440153612545</v>
      </c>
      <c r="AM163" s="32">
        <v>92.395907806184496</v>
      </c>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c r="CF163" s="32"/>
      <c r="CG163" s="32"/>
      <c r="CH163" s="32"/>
      <c r="CI163" s="32"/>
      <c r="CJ163" s="32"/>
      <c r="CK163" s="32"/>
      <c r="CL163" s="32"/>
      <c r="CM163" s="32"/>
      <c r="CN163" s="32"/>
      <c r="CO163" s="32"/>
      <c r="CP163" s="32"/>
      <c r="CQ163" s="32"/>
      <c r="CR163" s="32"/>
      <c r="CS163" s="32"/>
      <c r="CT163" s="32"/>
      <c r="CU163" s="32"/>
      <c r="CV163" s="32"/>
      <c r="CW163" s="32"/>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row>
    <row r="164" spans="1:131">
      <c r="A164" s="11" t="s">
        <v>872</v>
      </c>
      <c r="B164" s="11"/>
      <c r="C164" s="166">
        <v>3303.4620964582305</v>
      </c>
      <c r="D164" s="166">
        <v>532.0694632777404</v>
      </c>
      <c r="E164" s="166">
        <v>106.41389265554808</v>
      </c>
      <c r="F164" s="166">
        <v>638.48335593328852</v>
      </c>
      <c r="G164" s="166">
        <v>589.5589825563153</v>
      </c>
      <c r="H164" s="166">
        <v>2382.490575026065</v>
      </c>
      <c r="I164" s="166">
        <v>1693.1068178358096</v>
      </c>
      <c r="J164" s="166">
        <v>-13.939148975778181</v>
      </c>
      <c r="K164" s="166">
        <v>-4.6445504544020064</v>
      </c>
      <c r="L164" s="383">
        <v>3.3279037665155351</v>
      </c>
      <c r="M164" s="166">
        <v>31.383035165897827</v>
      </c>
      <c r="N164" s="166">
        <v>0.77216098993777771</v>
      </c>
      <c r="O164" s="166">
        <v>137.27504463213276</v>
      </c>
      <c r="P164" s="166">
        <v>100.94147321518288</v>
      </c>
      <c r="Q164" s="166">
        <v>93.449232331361458</v>
      </c>
      <c r="R164" s="166">
        <v>53.439529924317611</v>
      </c>
      <c r="S164" s="166">
        <v>42.924741103873792</v>
      </c>
      <c r="T164" s="166">
        <v>33.313982304072347</v>
      </c>
      <c r="U164" s="166">
        <v>34.892010542901922</v>
      </c>
      <c r="V164" s="166">
        <v>50.667239372665343</v>
      </c>
      <c r="W164" s="166">
        <v>63.899950542712368</v>
      </c>
      <c r="X164" s="166">
        <v>104.1462433603796</v>
      </c>
      <c r="Y164" s="166">
        <v>121.41936797998275</v>
      </c>
      <c r="Z164" s="166">
        <v>144.03987273767663</v>
      </c>
      <c r="AA164" s="166"/>
      <c r="AB164" s="166">
        <v>225.39773397779277</v>
      </c>
      <c r="AC164" s="166">
        <v>194.98597517481414</v>
      </c>
      <c r="AD164" s="166">
        <v>195.9412430112211</v>
      </c>
      <c r="AE164" s="166">
        <v>185.65948364949148</v>
      </c>
      <c r="AF164" s="166">
        <v>170.97469666579579</v>
      </c>
      <c r="AG164" s="166">
        <v>155.29864025903538</v>
      </c>
      <c r="AH164" s="166">
        <v>169.7811151717363</v>
      </c>
      <c r="AI164" s="166">
        <v>183.49110930444562</v>
      </c>
      <c r="AJ164" s="166">
        <v>196.98624537207505</v>
      </c>
      <c r="AK164" s="166">
        <v>203.89951019613758</v>
      </c>
      <c r="AL164" s="166">
        <v>214.96563620252846</v>
      </c>
      <c r="AM164" s="32">
        <v>225.67201942589662</v>
      </c>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c r="BT164" s="32"/>
      <c r="BU164" s="32"/>
      <c r="BV164" s="32"/>
      <c r="BW164" s="32"/>
      <c r="BX164" s="32"/>
      <c r="BY164" s="32"/>
      <c r="BZ164" s="32"/>
      <c r="CA164" s="32"/>
      <c r="CB164" s="32"/>
      <c r="CC164" s="32"/>
      <c r="CD164" s="32"/>
      <c r="CE164" s="32"/>
      <c r="CF164" s="32"/>
      <c r="CG164" s="32"/>
      <c r="CH164" s="32"/>
      <c r="CI164" s="32"/>
      <c r="CJ164" s="32"/>
      <c r="CK164" s="32"/>
      <c r="CL164" s="32"/>
      <c r="CM164" s="32"/>
      <c r="CN164" s="32"/>
      <c r="CO164" s="32"/>
      <c r="CP164" s="32"/>
      <c r="CQ164" s="32"/>
      <c r="CR164" s="32"/>
      <c r="CS164" s="32"/>
      <c r="CT164" s="32"/>
      <c r="CU164" s="32"/>
      <c r="CV164" s="32"/>
      <c r="CW164" s="32"/>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row>
    <row r="165" spans="1:131">
      <c r="A165" s="11" t="s">
        <v>846</v>
      </c>
      <c r="B165" s="11"/>
      <c r="C165" s="166">
        <v>754.1040131826594</v>
      </c>
      <c r="D165" s="166">
        <v>162.01157721295672</v>
      </c>
      <c r="E165" s="166">
        <v>32.402315442591345</v>
      </c>
      <c r="F165" s="166">
        <v>194.41389265554807</v>
      </c>
      <c r="G165" s="166">
        <v>76.613833839268096</v>
      </c>
      <c r="H165" s="166">
        <v>543.86750976294604</v>
      </c>
      <c r="I165" s="166">
        <v>2258.3962820657789</v>
      </c>
      <c r="J165" s="166">
        <v>-12.657957334477748</v>
      </c>
      <c r="K165" s="166">
        <v>-10.300864927807163</v>
      </c>
      <c r="L165" s="383">
        <v>2.9923989967278231</v>
      </c>
      <c r="M165" s="166">
        <v>7.1640212823477789</v>
      </c>
      <c r="N165" s="166">
        <v>0.1762664999121584</v>
      </c>
      <c r="O165" s="166">
        <v>31.336718583182005</v>
      </c>
      <c r="P165" s="166">
        <v>23.042604342199336</v>
      </c>
      <c r="Q165" s="166">
        <v>21.332298985804162</v>
      </c>
      <c r="R165" s="166">
        <v>12.19900904016087</v>
      </c>
      <c r="S165" s="166">
        <v>9.7987258779093338</v>
      </c>
      <c r="T165" s="166">
        <v>7.6048118661726276</v>
      </c>
      <c r="U165" s="166">
        <v>7.965039225551986</v>
      </c>
      <c r="V165" s="166">
        <v>11.566159208782222</v>
      </c>
      <c r="W165" s="166">
        <v>14.586881198999142</v>
      </c>
      <c r="X165" s="166">
        <v>23.774179264887835</v>
      </c>
      <c r="Y165" s="166">
        <v>27.717234222234651</v>
      </c>
      <c r="Z165" s="166">
        <v>32.880972421708215</v>
      </c>
      <c r="AA165" s="166"/>
      <c r="AB165" s="166">
        <v>51.453090966948281</v>
      </c>
      <c r="AC165" s="166">
        <v>44.510789620171131</v>
      </c>
      <c r="AD165" s="166">
        <v>44.728855179292005</v>
      </c>
      <c r="AE165" s="166">
        <v>42.381767254302176</v>
      </c>
      <c r="AF165" s="166">
        <v>39.029569931072679</v>
      </c>
      <c r="AG165" s="166">
        <v>35.451088718925604</v>
      </c>
      <c r="AH165" s="166">
        <v>38.757102874254976</v>
      </c>
      <c r="AI165" s="166">
        <v>41.886777528997158</v>
      </c>
      <c r="AJ165" s="166">
        <v>44.967405055481052</v>
      </c>
      <c r="AK165" s="166">
        <v>46.545543564655858</v>
      </c>
      <c r="AL165" s="166">
        <v>49.071684258309148</v>
      </c>
      <c r="AM165" s="32">
        <v>51.515703992656817</v>
      </c>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c r="CA165" s="32"/>
      <c r="CB165" s="32"/>
      <c r="CC165" s="32"/>
      <c r="CD165" s="32"/>
      <c r="CE165" s="32"/>
      <c r="CF165" s="32"/>
      <c r="CG165" s="32"/>
      <c r="CH165" s="32"/>
      <c r="CI165" s="32"/>
      <c r="CJ165" s="32"/>
      <c r="CK165" s="32"/>
      <c r="CL165" s="32"/>
      <c r="CM165" s="32"/>
      <c r="CN165" s="32"/>
      <c r="CO165" s="32"/>
      <c r="CP165" s="32"/>
      <c r="CQ165" s="32"/>
      <c r="CR165" s="32"/>
      <c r="CS165" s="32"/>
      <c r="CT165" s="32"/>
      <c r="CU165" s="32"/>
      <c r="CV165" s="32"/>
      <c r="CW165" s="32"/>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row>
    <row r="166" spans="1:131">
      <c r="A166" s="11" t="s">
        <v>531</v>
      </c>
      <c r="B166" s="11"/>
      <c r="C166" s="166">
        <v>384.34978736406504</v>
      </c>
      <c r="D166" s="166">
        <v>113.40810404906972</v>
      </c>
      <c r="E166" s="166">
        <v>22.681620809813946</v>
      </c>
      <c r="F166" s="166">
        <v>136.08972485888367</v>
      </c>
      <c r="G166" s="166">
        <v>12.179807394923326</v>
      </c>
      <c r="H166" s="166">
        <v>277.1969888469207</v>
      </c>
      <c r="I166" s="166">
        <v>3101.7214760017355</v>
      </c>
      <c r="J166" s="166">
        <v>-10.746615875388958</v>
      </c>
      <c r="K166" s="166">
        <v>-15.444704745365998</v>
      </c>
      <c r="L166" s="383">
        <v>2.6143569898752164</v>
      </c>
      <c r="M166" s="166">
        <v>3.6513398793901684</v>
      </c>
      <c r="N166" s="166">
        <v>8.9839054793938777E-2</v>
      </c>
      <c r="O166" s="166">
        <v>15.971617858525018</v>
      </c>
      <c r="P166" s="166">
        <v>11.744295116346755</v>
      </c>
      <c r="Q166" s="166">
        <v>10.872591095990506</v>
      </c>
      <c r="R166" s="166">
        <v>6.2175594462755388</v>
      </c>
      <c r="S166" s="166">
        <v>4.9941893184183046</v>
      </c>
      <c r="T166" s="166">
        <v>3.8760008866299192</v>
      </c>
      <c r="U166" s="166">
        <v>4.0596006375393987</v>
      </c>
      <c r="V166" s="166">
        <v>5.8950101773793246</v>
      </c>
      <c r="W166" s="166">
        <v>7.4346039659414966</v>
      </c>
      <c r="X166" s="166">
        <v>12.117162335007345</v>
      </c>
      <c r="Y166" s="166">
        <v>14.126848410042173</v>
      </c>
      <c r="Z166" s="166">
        <v>16.758689169773863</v>
      </c>
      <c r="AA166" s="166"/>
      <c r="AB166" s="166">
        <v>26.224478621863955</v>
      </c>
      <c r="AC166" s="166">
        <v>22.686144387054959</v>
      </c>
      <c r="AD166" s="166">
        <v>22.797287478477855</v>
      </c>
      <c r="AE166" s="166">
        <v>21.601029761870137</v>
      </c>
      <c r="AF166" s="166">
        <v>19.89249048099833</v>
      </c>
      <c r="AG166" s="166">
        <v>18.068619411581434</v>
      </c>
      <c r="AH166" s="166">
        <v>19.753620174620274</v>
      </c>
      <c r="AI166" s="166">
        <v>21.348744676069515</v>
      </c>
      <c r="AJ166" s="166">
        <v>22.918870963761304</v>
      </c>
      <c r="AK166" s="166">
        <v>23.723212526502014</v>
      </c>
      <c r="AL166" s="166">
        <v>25.010729396170465</v>
      </c>
      <c r="AM166" s="32">
        <v>26.256391067225085</v>
      </c>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row>
    <row r="167" spans="1:131">
      <c r="A167" s="11" t="s">
        <v>957</v>
      </c>
      <c r="B167" s="11"/>
      <c r="C167" s="166">
        <v>1352.5220365469634</v>
      </c>
      <c r="D167" s="166">
        <v>324.02315442591345</v>
      </c>
      <c r="E167" s="166">
        <v>64.804630885182689</v>
      </c>
      <c r="F167" s="166">
        <v>388.82778531109614</v>
      </c>
      <c r="G167" s="166">
        <v>292.65395089196954</v>
      </c>
      <c r="H167" s="166">
        <v>975.45269492967157</v>
      </c>
      <c r="I167" s="166">
        <v>2518.3555663323432</v>
      </c>
      <c r="J167" s="166">
        <v>-12.06877659937515</v>
      </c>
      <c r="K167" s="166">
        <v>-1.8551051958739857</v>
      </c>
      <c r="L167" s="383">
        <v>2.4557483468679515</v>
      </c>
      <c r="M167" s="166">
        <v>12.849018816081845</v>
      </c>
      <c r="N167" s="166">
        <v>0.3161424966166454</v>
      </c>
      <c r="O167" s="166">
        <v>56.203921071771596</v>
      </c>
      <c r="P167" s="166">
        <v>41.328025852460748</v>
      </c>
      <c r="Q167" s="166">
        <v>38.26051043905521</v>
      </c>
      <c r="R167" s="166">
        <v>21.879512988159497</v>
      </c>
      <c r="S167" s="166">
        <v>17.574488993927709</v>
      </c>
      <c r="T167" s="166">
        <v>13.639598056748326</v>
      </c>
      <c r="U167" s="166">
        <v>14.285683256151303</v>
      </c>
      <c r="V167" s="166">
        <v>20.744466193815857</v>
      </c>
      <c r="W167" s="166">
        <v>26.162277247237174</v>
      </c>
      <c r="X167" s="166">
        <v>42.640140875089152</v>
      </c>
      <c r="Y167" s="166">
        <v>49.712200734072475</v>
      </c>
      <c r="Z167" s="166">
        <v>58.973615053128292</v>
      </c>
      <c r="AA167" s="166"/>
      <c r="AB167" s="166">
        <v>92.283608314913693</v>
      </c>
      <c r="AC167" s="166">
        <v>79.832254931661765</v>
      </c>
      <c r="AD167" s="166">
        <v>80.223366063504372</v>
      </c>
      <c r="AE167" s="166">
        <v>76.013750301264565</v>
      </c>
      <c r="AF167" s="166">
        <v>70.001422198956163</v>
      </c>
      <c r="AG167" s="166">
        <v>63.583242992653673</v>
      </c>
      <c r="AH167" s="166">
        <v>69.512739348663771</v>
      </c>
      <c r="AI167" s="166">
        <v>75.125962277814267</v>
      </c>
      <c r="AJ167" s="166">
        <v>80.651216809185371</v>
      </c>
      <c r="AK167" s="166">
        <v>83.481684586931166</v>
      </c>
      <c r="AL167" s="166">
        <v>88.012440153612545</v>
      </c>
      <c r="AM167" s="32">
        <v>92.395907806184496</v>
      </c>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c r="BT167" s="32"/>
      <c r="BU167" s="32"/>
      <c r="BV167" s="32"/>
      <c r="BW167" s="32"/>
      <c r="BX167" s="32"/>
      <c r="BY167" s="32"/>
      <c r="BZ167" s="32"/>
      <c r="CA167" s="32"/>
      <c r="CB167" s="32"/>
      <c r="CC167" s="32"/>
      <c r="CD167" s="32"/>
      <c r="CE167" s="32"/>
      <c r="CF167" s="32"/>
      <c r="CG167" s="32"/>
      <c r="CH167" s="32"/>
      <c r="CI167" s="32"/>
      <c r="CJ167" s="32"/>
      <c r="CK167" s="32"/>
      <c r="CL167" s="32"/>
      <c r="CM167" s="32"/>
      <c r="CN167" s="32"/>
      <c r="CO167" s="32"/>
      <c r="CP167" s="32"/>
      <c r="CQ167" s="32"/>
      <c r="CR167" s="32"/>
      <c r="CS167" s="32"/>
      <c r="CT167" s="32"/>
      <c r="CU167" s="32"/>
      <c r="CV167" s="32"/>
      <c r="CW167" s="32"/>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row>
    <row r="168" spans="1:131">
      <c r="A168" s="11" t="s">
        <v>533</v>
      </c>
      <c r="B168" s="11"/>
      <c r="C168" s="166">
        <v>306.50679245488732</v>
      </c>
      <c r="D168" s="166">
        <v>113.40810404906972</v>
      </c>
      <c r="E168" s="166">
        <v>22.681620809813946</v>
      </c>
      <c r="F168" s="166">
        <v>136.08972485888367</v>
      </c>
      <c r="G168" s="166">
        <v>12.179807394923326</v>
      </c>
      <c r="H168" s="166">
        <v>221.05582654881036</v>
      </c>
      <c r="I168" s="166">
        <v>3889.4602635577317</v>
      </c>
      <c r="J168" s="166">
        <v>-8.9612573749971869</v>
      </c>
      <c r="K168" s="166">
        <v>-14.852511672269978</v>
      </c>
      <c r="L168" s="383">
        <v>2.2723720767495381</v>
      </c>
      <c r="M168" s="166">
        <v>2.9118280050832959</v>
      </c>
      <c r="N168" s="166">
        <v>7.1643803190103078E-2</v>
      </c>
      <c r="O168" s="166">
        <v>12.736859811228813</v>
      </c>
      <c r="P168" s="166">
        <v>9.365703700377793</v>
      </c>
      <c r="Q168" s="166">
        <v>8.6705473297139495</v>
      </c>
      <c r="R168" s="166">
        <v>4.958306900194418</v>
      </c>
      <c r="S168" s="166">
        <v>3.9827079374728256</v>
      </c>
      <c r="T168" s="166">
        <v>3.0909880488314547</v>
      </c>
      <c r="U168" s="166">
        <v>3.2374030400630649</v>
      </c>
      <c r="V168" s="166">
        <v>4.7010840655050314</v>
      </c>
      <c r="W168" s="166">
        <v>5.9288613905609413</v>
      </c>
      <c r="X168" s="166">
        <v>9.6630535076640864</v>
      </c>
      <c r="Y168" s="166">
        <v>11.265714554843759</v>
      </c>
      <c r="Z168" s="166">
        <v>13.36452427462979</v>
      </c>
      <c r="AA168" s="166"/>
      <c r="AB168" s="166">
        <v>20.913191812372524</v>
      </c>
      <c r="AC168" s="166">
        <v>18.091482232714714</v>
      </c>
      <c r="AD168" s="166">
        <v>18.18011533093804</v>
      </c>
      <c r="AE168" s="166">
        <v>17.226137658200241</v>
      </c>
      <c r="AF168" s="166">
        <v>15.863631649403732</v>
      </c>
      <c r="AG168" s="166">
        <v>14.409152188982665</v>
      </c>
      <c r="AH168" s="166">
        <v>15.752886974697182</v>
      </c>
      <c r="AI168" s="166">
        <v>17.024948285979487</v>
      </c>
      <c r="AJ168" s="166">
        <v>18.277074312872941</v>
      </c>
      <c r="AK168" s="166">
        <v>18.918511255311735</v>
      </c>
      <c r="AL168" s="166">
        <v>19.945265214667586</v>
      </c>
      <c r="AM168" s="32">
        <v>20.938640977660512</v>
      </c>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c r="BT168" s="32"/>
      <c r="BU168" s="32"/>
      <c r="BV168" s="32"/>
      <c r="BW168" s="32"/>
      <c r="BX168" s="32"/>
      <c r="BY168" s="32"/>
      <c r="BZ168" s="32"/>
      <c r="CA168" s="32"/>
      <c r="CB168" s="32"/>
      <c r="CC168" s="32"/>
      <c r="CD168" s="32"/>
      <c r="CE168" s="32"/>
      <c r="CF168" s="32"/>
      <c r="CG168" s="32"/>
      <c r="CH168" s="32"/>
      <c r="CI168" s="32"/>
      <c r="CJ168" s="32"/>
      <c r="CK168" s="32"/>
      <c r="CL168" s="32"/>
      <c r="CM168" s="32"/>
      <c r="CN168" s="32"/>
      <c r="CO168" s="32"/>
      <c r="CP168" s="32"/>
      <c r="CQ168" s="32"/>
      <c r="CR168" s="32"/>
      <c r="CS168" s="32"/>
      <c r="CT168" s="32"/>
      <c r="CU168" s="32"/>
      <c r="CV168" s="32"/>
      <c r="CW168" s="32"/>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row>
    <row r="169" spans="1:131">
      <c r="A169" s="11" t="s">
        <v>875</v>
      </c>
      <c r="B169" s="11"/>
      <c r="C169" s="166">
        <v>3303.4620964582305</v>
      </c>
      <c r="D169" s="166">
        <v>972.0694632777404</v>
      </c>
      <c r="E169" s="166">
        <v>194.4138926555481</v>
      </c>
      <c r="F169" s="166">
        <v>1166.4833559332885</v>
      </c>
      <c r="G169" s="166">
        <v>646.05047154746046</v>
      </c>
      <c r="H169" s="166">
        <v>2382.490575026065</v>
      </c>
      <c r="I169" s="166">
        <v>3093.2379121077679</v>
      </c>
      <c r="J169" s="166">
        <v>-10.765843318738163</v>
      </c>
      <c r="K169" s="166">
        <v>-3.3862515796864368</v>
      </c>
      <c r="L169" s="383">
        <v>2.2340482619744511</v>
      </c>
      <c r="M169" s="166">
        <v>31.383035165897827</v>
      </c>
      <c r="N169" s="166">
        <v>0.77216098993777771</v>
      </c>
      <c r="O169" s="166">
        <v>137.27504463213276</v>
      </c>
      <c r="P169" s="166">
        <v>100.94147321518288</v>
      </c>
      <c r="Q169" s="166">
        <v>93.449232331361458</v>
      </c>
      <c r="R169" s="166">
        <v>53.439529924317611</v>
      </c>
      <c r="S169" s="166">
        <v>42.924741103873792</v>
      </c>
      <c r="T169" s="166">
        <v>33.313982304072347</v>
      </c>
      <c r="U169" s="166">
        <v>34.892010542901922</v>
      </c>
      <c r="V169" s="166">
        <v>50.667239372665343</v>
      </c>
      <c r="W169" s="166">
        <v>63.899950542712368</v>
      </c>
      <c r="X169" s="166">
        <v>104.1462433603796</v>
      </c>
      <c r="Y169" s="166">
        <v>121.41936797998275</v>
      </c>
      <c r="Z169" s="166">
        <v>144.03987273767663</v>
      </c>
      <c r="AA169" s="166"/>
      <c r="AB169" s="166">
        <v>225.39773397779277</v>
      </c>
      <c r="AC169" s="166">
        <v>194.98597517481414</v>
      </c>
      <c r="AD169" s="166">
        <v>195.9412430112211</v>
      </c>
      <c r="AE169" s="166">
        <v>185.65948364949148</v>
      </c>
      <c r="AF169" s="166">
        <v>170.97469666579579</v>
      </c>
      <c r="AG169" s="166">
        <v>155.29864025903538</v>
      </c>
      <c r="AH169" s="166">
        <v>169.7811151717363</v>
      </c>
      <c r="AI169" s="166">
        <v>183.49110930444562</v>
      </c>
      <c r="AJ169" s="166">
        <v>196.98624537207505</v>
      </c>
      <c r="AK169" s="166">
        <v>203.89951019613758</v>
      </c>
      <c r="AL169" s="166">
        <v>214.96563620252846</v>
      </c>
      <c r="AM169" s="32">
        <v>225.67201942589662</v>
      </c>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c r="BT169" s="32"/>
      <c r="BU169" s="32"/>
      <c r="BV169" s="32"/>
      <c r="BW169" s="32"/>
      <c r="BX169" s="32"/>
      <c r="BY169" s="32"/>
      <c r="BZ169" s="32"/>
      <c r="CA169" s="32"/>
      <c r="CB169" s="32"/>
      <c r="CC169" s="32"/>
      <c r="CD169" s="32"/>
      <c r="CE169" s="32"/>
      <c r="CF169" s="32"/>
      <c r="CG169" s="32"/>
      <c r="CH169" s="32"/>
      <c r="CI169" s="32"/>
      <c r="CJ169" s="32"/>
      <c r="CK169" s="32"/>
      <c r="CL169" s="32"/>
      <c r="CM169" s="32"/>
      <c r="CN169" s="32"/>
      <c r="CO169" s="32"/>
      <c r="CP169" s="32"/>
      <c r="CQ169" s="32"/>
      <c r="CR169" s="32"/>
      <c r="CS169" s="32"/>
      <c r="CT169" s="32"/>
      <c r="CU169" s="32"/>
      <c r="CV169" s="32"/>
      <c r="CW169" s="32"/>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row>
    <row r="170" spans="1:131">
      <c r="A170" s="11" t="s">
        <v>844</v>
      </c>
      <c r="B170" s="11"/>
      <c r="C170" s="166">
        <v>462.19278227324287</v>
      </c>
      <c r="D170" s="166">
        <v>162.01157721295672</v>
      </c>
      <c r="E170" s="166">
        <v>32.402315442591345</v>
      </c>
      <c r="F170" s="166">
        <v>194.41389265554807</v>
      </c>
      <c r="G170" s="166">
        <v>76.613833839268096</v>
      </c>
      <c r="H170" s="166">
        <v>333.33815114503147</v>
      </c>
      <c r="I170" s="166">
        <v>3684.751828633639</v>
      </c>
      <c r="J170" s="166">
        <v>-9.4252156695068887</v>
      </c>
      <c r="K170" s="166">
        <v>-5.5794333217811944</v>
      </c>
      <c r="L170" s="383">
        <v>2.094688599772915</v>
      </c>
      <c r="M170" s="166">
        <v>4.3908517536970244</v>
      </c>
      <c r="N170" s="166">
        <v>0.10803430639777449</v>
      </c>
      <c r="O170" s="166">
        <v>19.206375905821229</v>
      </c>
      <c r="P170" s="166">
        <v>14.122886532315722</v>
      </c>
      <c r="Q170" s="166">
        <v>13.074634862267068</v>
      </c>
      <c r="R170" s="166">
        <v>7.4768119923566623</v>
      </c>
      <c r="S170" s="166">
        <v>6.0056706993637858</v>
      </c>
      <c r="T170" s="166">
        <v>4.6610137244283845</v>
      </c>
      <c r="U170" s="166">
        <v>4.881798235015733</v>
      </c>
      <c r="V170" s="166">
        <v>7.0889362892536205</v>
      </c>
      <c r="W170" s="166">
        <v>8.9403465413220555</v>
      </c>
      <c r="X170" s="166">
        <v>14.571271162350607</v>
      </c>
      <c r="Y170" s="166">
        <v>16.987982265240593</v>
      </c>
      <c r="Z170" s="166">
        <v>20.152854064917939</v>
      </c>
      <c r="AA170" s="166"/>
      <c r="AB170" s="166">
        <v>31.535765431355397</v>
      </c>
      <c r="AC170" s="166">
        <v>27.280806541395208</v>
      </c>
      <c r="AD170" s="166">
        <v>27.414459626017681</v>
      </c>
      <c r="AE170" s="166">
        <v>25.975921865540045</v>
      </c>
      <c r="AF170" s="166">
        <v>23.92134931259293</v>
      </c>
      <c r="AG170" s="166">
        <v>21.728086634180208</v>
      </c>
      <c r="AH170" s="166">
        <v>23.754353374543371</v>
      </c>
      <c r="AI170" s="166">
        <v>25.67254106615955</v>
      </c>
      <c r="AJ170" s="166">
        <v>27.560667614649677</v>
      </c>
      <c r="AK170" s="166">
        <v>28.5279137976923</v>
      </c>
      <c r="AL170" s="166">
        <v>30.076193577673347</v>
      </c>
      <c r="AM170" s="32">
        <v>31.574141156789665</v>
      </c>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c r="BR170" s="32"/>
      <c r="BS170" s="32"/>
      <c r="BT170" s="32"/>
      <c r="BU170" s="32"/>
      <c r="BV170" s="32"/>
      <c r="BW170" s="32"/>
      <c r="BX170" s="32"/>
      <c r="BY170" s="32"/>
      <c r="BZ170" s="32"/>
      <c r="CA170" s="32"/>
      <c r="CB170" s="32"/>
      <c r="CC170" s="32"/>
      <c r="CD170" s="32"/>
      <c r="CE170" s="32"/>
      <c r="CF170" s="32"/>
      <c r="CG170" s="32"/>
      <c r="CH170" s="32"/>
      <c r="CI170" s="32"/>
      <c r="CJ170" s="32"/>
      <c r="CK170" s="32"/>
      <c r="CL170" s="32"/>
      <c r="CM170" s="32"/>
      <c r="CN170" s="32"/>
      <c r="CO170" s="32"/>
      <c r="CP170" s="32"/>
      <c r="CQ170" s="32"/>
      <c r="CR170" s="32"/>
      <c r="CS170" s="32"/>
      <c r="CT170" s="32"/>
      <c r="CU170" s="32"/>
      <c r="CV170" s="32"/>
      <c r="CW170" s="32"/>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row>
    <row r="171" spans="1:131">
      <c r="A171" s="11" t="s">
        <v>874</v>
      </c>
      <c r="B171" s="11"/>
      <c r="C171" s="166">
        <v>3303.4620964582305</v>
      </c>
      <c r="D171" s="166">
        <v>972.0694632777404</v>
      </c>
      <c r="E171" s="166">
        <v>194.4138926555481</v>
      </c>
      <c r="F171" s="166">
        <v>1166.4833559332885</v>
      </c>
      <c r="G171" s="166">
        <v>1226.4762729454578</v>
      </c>
      <c r="H171" s="166">
        <v>2382.490575026065</v>
      </c>
      <c r="I171" s="166">
        <v>3093.2379121077679</v>
      </c>
      <c r="J171" s="166">
        <v>-10.765843318738163</v>
      </c>
      <c r="K171" s="166">
        <v>9.5422292551781318</v>
      </c>
      <c r="L171" s="383">
        <v>1.8215529216598509</v>
      </c>
      <c r="M171" s="166">
        <v>31.383035165897827</v>
      </c>
      <c r="N171" s="166">
        <v>0.77216098993777771</v>
      </c>
      <c r="O171" s="166">
        <v>137.27504463213276</v>
      </c>
      <c r="P171" s="166">
        <v>100.94147321518288</v>
      </c>
      <c r="Q171" s="166">
        <v>93.449232331361458</v>
      </c>
      <c r="R171" s="166">
        <v>53.439529924317611</v>
      </c>
      <c r="S171" s="166">
        <v>42.924741103873792</v>
      </c>
      <c r="T171" s="166">
        <v>33.313982304072347</v>
      </c>
      <c r="U171" s="166">
        <v>34.892010542901922</v>
      </c>
      <c r="V171" s="166">
        <v>50.667239372665343</v>
      </c>
      <c r="W171" s="166">
        <v>63.899950542712368</v>
      </c>
      <c r="X171" s="166">
        <v>104.1462433603796</v>
      </c>
      <c r="Y171" s="166">
        <v>121.41936797998275</v>
      </c>
      <c r="Z171" s="166">
        <v>144.03987273767663</v>
      </c>
      <c r="AA171" s="166"/>
      <c r="AB171" s="166">
        <v>225.39773397779277</v>
      </c>
      <c r="AC171" s="166">
        <v>194.98597517481414</v>
      </c>
      <c r="AD171" s="166">
        <v>195.9412430112211</v>
      </c>
      <c r="AE171" s="166">
        <v>185.65948364949148</v>
      </c>
      <c r="AF171" s="166">
        <v>170.97469666579579</v>
      </c>
      <c r="AG171" s="166">
        <v>155.29864025903538</v>
      </c>
      <c r="AH171" s="166">
        <v>169.7811151717363</v>
      </c>
      <c r="AI171" s="166">
        <v>183.49110930444562</v>
      </c>
      <c r="AJ171" s="166">
        <v>196.98624537207505</v>
      </c>
      <c r="AK171" s="166">
        <v>203.89951019613758</v>
      </c>
      <c r="AL171" s="166">
        <v>214.96563620252846</v>
      </c>
      <c r="AM171" s="32">
        <v>225.67201942589662</v>
      </c>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c r="CF171" s="32"/>
      <c r="CG171" s="32"/>
      <c r="CH171" s="32"/>
      <c r="CI171" s="32"/>
      <c r="CJ171" s="32"/>
      <c r="CK171" s="32"/>
      <c r="CL171" s="32"/>
      <c r="CM171" s="32"/>
      <c r="CN171" s="32"/>
      <c r="CO171" s="32"/>
      <c r="CP171" s="32"/>
      <c r="CQ171" s="32"/>
      <c r="CR171" s="32"/>
      <c r="CS171" s="32"/>
      <c r="CT171" s="32"/>
      <c r="CU171" s="32"/>
      <c r="CV171" s="32"/>
      <c r="CW171" s="32"/>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row>
    <row r="172" spans="1:131">
      <c r="A172" s="11"/>
      <c r="B172" s="11"/>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c r="BT172" s="32"/>
      <c r="BU172" s="32"/>
      <c r="BV172" s="32"/>
      <c r="BW172" s="32"/>
      <c r="BX172" s="32"/>
      <c r="BY172" s="32"/>
      <c r="BZ172" s="32"/>
      <c r="CA172" s="32"/>
      <c r="CB172" s="32"/>
      <c r="CC172" s="32"/>
      <c r="CD172" s="32"/>
      <c r="CE172" s="32"/>
      <c r="CF172" s="32"/>
      <c r="CG172" s="32"/>
      <c r="CH172" s="32"/>
      <c r="CI172" s="32"/>
      <c r="CJ172" s="32"/>
      <c r="CK172" s="32"/>
      <c r="CL172" s="32"/>
      <c r="CM172" s="32"/>
      <c r="CN172" s="32"/>
      <c r="CO172" s="32"/>
      <c r="CP172" s="32"/>
      <c r="CQ172" s="32"/>
      <c r="CR172" s="32"/>
      <c r="CS172" s="32"/>
      <c r="CT172" s="32"/>
      <c r="CU172" s="32"/>
      <c r="CV172" s="32"/>
      <c r="CW172" s="32"/>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row>
  </sheetData>
  <mergeCells count="3">
    <mergeCell ref="I6:N6"/>
    <mergeCell ref="O6:P6"/>
    <mergeCell ref="R6:T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dimension ref="A1:EA14"/>
  <sheetViews>
    <sheetView workbookViewId="0">
      <selection activeCell="F26" sqref="F26"/>
    </sheetView>
  </sheetViews>
  <sheetFormatPr defaultRowHeight="12.75"/>
  <sheetData>
    <row r="1" spans="1:131" ht="13.5" thickBot="1">
      <c r="A1" s="368" t="s">
        <v>662</v>
      </c>
      <c r="B1" s="370"/>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row>
    <row r="2" spans="1:131" ht="13.5" thickBot="1">
      <c r="A2" s="396"/>
      <c r="B2" s="397"/>
      <c r="C2" s="398"/>
      <c r="D2" s="398"/>
      <c r="E2" s="398"/>
      <c r="F2" s="398"/>
      <c r="G2" s="398"/>
      <c r="H2" s="398"/>
      <c r="I2" s="398"/>
      <c r="J2" s="398"/>
      <c r="K2" s="398"/>
      <c r="L2" s="398"/>
      <c r="M2" s="398"/>
      <c r="N2" s="398"/>
      <c r="O2" s="399" t="s">
        <v>961</v>
      </c>
      <c r="P2" s="400"/>
      <c r="Q2" s="400"/>
      <c r="R2" s="400"/>
      <c r="S2" s="400"/>
      <c r="T2" s="400"/>
      <c r="U2" s="400"/>
      <c r="V2" s="400"/>
      <c r="W2" s="400"/>
      <c r="X2" s="400"/>
      <c r="Y2" s="400"/>
      <c r="Z2" s="388"/>
      <c r="AA2" s="398"/>
      <c r="AB2" s="399" t="s">
        <v>962</v>
      </c>
      <c r="AC2" s="400"/>
      <c r="AD2" s="400"/>
      <c r="AE2" s="400"/>
      <c r="AF2" s="400"/>
      <c r="AG2" s="400"/>
      <c r="AH2" s="400"/>
      <c r="AI2" s="400"/>
      <c r="AJ2" s="400"/>
      <c r="AK2" s="400"/>
      <c r="AL2" s="400"/>
      <c r="AM2" s="388"/>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row>
    <row r="3" spans="1:131" ht="191.25">
      <c r="A3" s="379" t="s">
        <v>308</v>
      </c>
      <c r="B3" s="380" t="s">
        <v>309</v>
      </c>
      <c r="C3" s="381" t="s">
        <v>663</v>
      </c>
      <c r="D3" s="381" t="s">
        <v>617</v>
      </c>
      <c r="E3" s="381" t="s">
        <v>618</v>
      </c>
      <c r="F3" s="381" t="s">
        <v>619</v>
      </c>
      <c r="G3" s="381" t="s">
        <v>620</v>
      </c>
      <c r="H3" s="381" t="s">
        <v>621</v>
      </c>
      <c r="I3" s="381" t="s">
        <v>622</v>
      </c>
      <c r="J3" s="381" t="s">
        <v>623</v>
      </c>
      <c r="K3" s="381" t="s">
        <v>372</v>
      </c>
      <c r="L3" s="381" t="s">
        <v>371</v>
      </c>
      <c r="M3" s="381" t="s">
        <v>624</v>
      </c>
      <c r="N3" s="381" t="s">
        <v>963</v>
      </c>
      <c r="O3" s="381" t="s">
        <v>625</v>
      </c>
      <c r="P3" s="381" t="s">
        <v>626</v>
      </c>
      <c r="Q3" s="381" t="s">
        <v>627</v>
      </c>
      <c r="R3" s="381" t="s">
        <v>628</v>
      </c>
      <c r="S3" s="381" t="s">
        <v>629</v>
      </c>
      <c r="T3" s="381" t="s">
        <v>630</v>
      </c>
      <c r="U3" s="381" t="s">
        <v>631</v>
      </c>
      <c r="V3" s="381" t="s">
        <v>632</v>
      </c>
      <c r="W3" s="381" t="s">
        <v>633</v>
      </c>
      <c r="X3" s="381" t="s">
        <v>634</v>
      </c>
      <c r="Y3" s="381" t="s">
        <v>635</v>
      </c>
      <c r="Z3" s="381" t="s">
        <v>636</v>
      </c>
      <c r="AA3" s="381"/>
      <c r="AB3" s="381" t="s">
        <v>625</v>
      </c>
      <c r="AC3" s="381" t="s">
        <v>626</v>
      </c>
      <c r="AD3" s="381" t="s">
        <v>627</v>
      </c>
      <c r="AE3" s="381" t="s">
        <v>628</v>
      </c>
      <c r="AF3" s="381" t="s">
        <v>629</v>
      </c>
      <c r="AG3" s="381" t="s">
        <v>630</v>
      </c>
      <c r="AH3" s="381" t="s">
        <v>631</v>
      </c>
      <c r="AI3" s="381" t="s">
        <v>632</v>
      </c>
      <c r="AJ3" s="381" t="s">
        <v>633</v>
      </c>
      <c r="AK3" s="381" t="s">
        <v>634</v>
      </c>
      <c r="AL3" s="381" t="s">
        <v>635</v>
      </c>
      <c r="AM3" s="381" t="s">
        <v>636</v>
      </c>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row>
    <row r="4" spans="1:131">
      <c r="A4" s="11" t="s">
        <v>664</v>
      </c>
      <c r="B4" s="11"/>
      <c r="C4" s="166">
        <v>345.42828990947618</v>
      </c>
      <c r="D4" s="166">
        <v>-8.5918959509302795</v>
      </c>
      <c r="E4" s="166">
        <v>-1.7183791901860559</v>
      </c>
      <c r="F4" s="166">
        <v>-10.310275141116335</v>
      </c>
      <c r="G4" s="166">
        <v>-12.437107019027177</v>
      </c>
      <c r="H4" s="166">
        <v>249.12640769786555</v>
      </c>
      <c r="I4" s="166">
        <v>-261.46674396543511</v>
      </c>
      <c r="J4" s="166">
        <v>-18.369062264711971</v>
      </c>
      <c r="K4" s="166">
        <v>-20.425767677545362</v>
      </c>
      <c r="L4" s="383">
        <v>9999</v>
      </c>
      <c r="M4" s="166">
        <v>3.2815839422367321</v>
      </c>
      <c r="N4" s="166">
        <v>8.0741428992020942E-2</v>
      </c>
      <c r="O4" s="166">
        <v>14.354238834876915</v>
      </c>
      <c r="P4" s="166">
        <v>10.554999408362274</v>
      </c>
      <c r="Q4" s="166">
        <v>9.7715692128522278</v>
      </c>
      <c r="R4" s="166">
        <v>5.5879331732349788</v>
      </c>
      <c r="S4" s="166">
        <v>4.4884486279455649</v>
      </c>
      <c r="T4" s="166">
        <v>3.4834944677306874</v>
      </c>
      <c r="U4" s="166">
        <v>3.6485018388012316</v>
      </c>
      <c r="V4" s="166">
        <v>5.2980471214421785</v>
      </c>
      <c r="W4" s="166">
        <v>6.6817326782512199</v>
      </c>
      <c r="X4" s="166">
        <v>10.890107921335716</v>
      </c>
      <c r="Y4" s="166">
        <v>12.696281482442966</v>
      </c>
      <c r="Z4" s="166">
        <v>15.061606722201828</v>
      </c>
      <c r="AA4" s="166"/>
      <c r="AB4" s="166">
        <v>23.568835217118238</v>
      </c>
      <c r="AC4" s="166">
        <v>20.388813309884839</v>
      </c>
      <c r="AD4" s="166">
        <v>20.488701404707946</v>
      </c>
      <c r="AE4" s="166">
        <v>19.413583710035187</v>
      </c>
      <c r="AF4" s="166">
        <v>17.878061065201031</v>
      </c>
      <c r="AG4" s="166">
        <v>16.238885800282048</v>
      </c>
      <c r="AH4" s="166">
        <v>17.753253574658729</v>
      </c>
      <c r="AI4" s="166">
        <v>19.186846481024503</v>
      </c>
      <c r="AJ4" s="166">
        <v>20.597972638317124</v>
      </c>
      <c r="AK4" s="166">
        <v>21.320861890906876</v>
      </c>
      <c r="AL4" s="166">
        <v>22.477997305419027</v>
      </c>
      <c r="AM4" s="32">
        <v>23.5975160224428</v>
      </c>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row>
    <row r="5" spans="1:131">
      <c r="A5" s="11" t="s">
        <v>666</v>
      </c>
      <c r="B5" s="11"/>
      <c r="C5" s="166">
        <v>754.1040131826594</v>
      </c>
      <c r="D5" s="166">
        <v>2.0115772129567233</v>
      </c>
      <c r="E5" s="166">
        <v>0.40231544259134466</v>
      </c>
      <c r="F5" s="166">
        <v>2.413892655548068</v>
      </c>
      <c r="G5" s="166">
        <v>2.9118370633748616</v>
      </c>
      <c r="H5" s="166">
        <v>543.86750976294604</v>
      </c>
      <c r="I5" s="166">
        <v>28.040826322295615</v>
      </c>
      <c r="J5" s="166">
        <v>-17.712912269680494</v>
      </c>
      <c r="K5" s="166">
        <v>-17.49234227135976</v>
      </c>
      <c r="L5" s="383">
        <v>186.77813968498486</v>
      </c>
      <c r="M5" s="166">
        <v>7.1640212823477789</v>
      </c>
      <c r="N5" s="166">
        <v>0.1762664999121584</v>
      </c>
      <c r="O5" s="166">
        <v>31.336718583182005</v>
      </c>
      <c r="P5" s="166">
        <v>23.042604342199336</v>
      </c>
      <c r="Q5" s="166">
        <v>21.332298985804162</v>
      </c>
      <c r="R5" s="166">
        <v>12.19900904016087</v>
      </c>
      <c r="S5" s="166">
        <v>9.7987258779093338</v>
      </c>
      <c r="T5" s="166">
        <v>7.6048118661726276</v>
      </c>
      <c r="U5" s="166">
        <v>7.965039225551986</v>
      </c>
      <c r="V5" s="166">
        <v>11.566159208782222</v>
      </c>
      <c r="W5" s="166">
        <v>14.586881198999142</v>
      </c>
      <c r="X5" s="166">
        <v>23.774179264887835</v>
      </c>
      <c r="Y5" s="166">
        <v>27.717234222234651</v>
      </c>
      <c r="Z5" s="166">
        <v>32.880972421708215</v>
      </c>
      <c r="AA5" s="166"/>
      <c r="AB5" s="166">
        <v>51.453090966948281</v>
      </c>
      <c r="AC5" s="166">
        <v>44.510789620171131</v>
      </c>
      <c r="AD5" s="166">
        <v>44.728855179292005</v>
      </c>
      <c r="AE5" s="166">
        <v>42.381767254302176</v>
      </c>
      <c r="AF5" s="166">
        <v>39.029569931072679</v>
      </c>
      <c r="AG5" s="166">
        <v>35.451088718925604</v>
      </c>
      <c r="AH5" s="166">
        <v>38.757102874254976</v>
      </c>
      <c r="AI5" s="166">
        <v>41.886777528997158</v>
      </c>
      <c r="AJ5" s="166">
        <v>44.967405055481052</v>
      </c>
      <c r="AK5" s="166">
        <v>46.545543564655858</v>
      </c>
      <c r="AL5" s="166">
        <v>49.071684258309148</v>
      </c>
      <c r="AM5" s="32">
        <v>51.515703992656817</v>
      </c>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row>
    <row r="6" spans="1:131">
      <c r="A6" s="11" t="s">
        <v>665</v>
      </c>
      <c r="B6" s="11"/>
      <c r="C6" s="166">
        <v>462.19278227324287</v>
      </c>
      <c r="D6" s="166">
        <v>2.0115772129567233</v>
      </c>
      <c r="E6" s="166">
        <v>0.40231544259134466</v>
      </c>
      <c r="F6" s="166">
        <v>2.413892655548068</v>
      </c>
      <c r="G6" s="166">
        <v>2.9118370633748616</v>
      </c>
      <c r="H6" s="166">
        <v>333.33815114503147</v>
      </c>
      <c r="I6" s="166">
        <v>45.750821894271795</v>
      </c>
      <c r="J6" s="166">
        <v>-17.6727737216798</v>
      </c>
      <c r="K6" s="166">
        <v>-17.312896355998582</v>
      </c>
      <c r="L6" s="383">
        <v>114.47692432305526</v>
      </c>
      <c r="M6" s="166">
        <v>4.3908517536970244</v>
      </c>
      <c r="N6" s="166">
        <v>0.10803430639777449</v>
      </c>
      <c r="O6" s="166">
        <v>19.206375905821229</v>
      </c>
      <c r="P6" s="166">
        <v>14.122886532315722</v>
      </c>
      <c r="Q6" s="166">
        <v>13.074634862267068</v>
      </c>
      <c r="R6" s="166">
        <v>7.4768119923566623</v>
      </c>
      <c r="S6" s="166">
        <v>6.0056706993637858</v>
      </c>
      <c r="T6" s="166">
        <v>4.6610137244283845</v>
      </c>
      <c r="U6" s="166">
        <v>4.881798235015733</v>
      </c>
      <c r="V6" s="166">
        <v>7.0889362892536205</v>
      </c>
      <c r="W6" s="166">
        <v>8.9403465413220555</v>
      </c>
      <c r="X6" s="166">
        <v>14.571271162350607</v>
      </c>
      <c r="Y6" s="166">
        <v>16.987982265240593</v>
      </c>
      <c r="Z6" s="166">
        <v>20.152854064917939</v>
      </c>
      <c r="AA6" s="166"/>
      <c r="AB6" s="166">
        <v>31.535765431355397</v>
      </c>
      <c r="AC6" s="166">
        <v>27.280806541395208</v>
      </c>
      <c r="AD6" s="166">
        <v>27.414459626017681</v>
      </c>
      <c r="AE6" s="166">
        <v>25.975921865540045</v>
      </c>
      <c r="AF6" s="166">
        <v>23.92134931259293</v>
      </c>
      <c r="AG6" s="166">
        <v>21.728086634180208</v>
      </c>
      <c r="AH6" s="166">
        <v>23.754353374543371</v>
      </c>
      <c r="AI6" s="166">
        <v>25.67254106615955</v>
      </c>
      <c r="AJ6" s="166">
        <v>27.560667614649677</v>
      </c>
      <c r="AK6" s="166">
        <v>28.5279137976923</v>
      </c>
      <c r="AL6" s="166">
        <v>30.076193577673347</v>
      </c>
      <c r="AM6" s="32">
        <v>31.574141156789665</v>
      </c>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row>
    <row r="7" spans="1:131">
      <c r="A7" s="11" t="s">
        <v>667</v>
      </c>
      <c r="B7" s="11"/>
      <c r="C7" s="166">
        <v>1352.5220365469634</v>
      </c>
      <c r="D7" s="166">
        <v>134.02315442591345</v>
      </c>
      <c r="E7" s="166">
        <v>26.804630885182689</v>
      </c>
      <c r="F7" s="166">
        <v>160.82778531109614</v>
      </c>
      <c r="G7" s="166">
        <v>194.00378265081457</v>
      </c>
      <c r="H7" s="166">
        <v>975.45269492967157</v>
      </c>
      <c r="I7" s="166">
        <v>1041.6476488043402</v>
      </c>
      <c r="J7" s="166">
        <v>-15.415638623694418</v>
      </c>
      <c r="K7" s="166">
        <v>-7.2220063281690328</v>
      </c>
      <c r="L7" s="383">
        <v>5.0280086377768152</v>
      </c>
      <c r="M7" s="166">
        <v>12.849018816081845</v>
      </c>
      <c r="N7" s="166">
        <v>0.3161424966166454</v>
      </c>
      <c r="O7" s="166">
        <v>56.203921071771596</v>
      </c>
      <c r="P7" s="166">
        <v>41.328025852460748</v>
      </c>
      <c r="Q7" s="166">
        <v>38.26051043905521</v>
      </c>
      <c r="R7" s="166">
        <v>21.879512988159497</v>
      </c>
      <c r="S7" s="166">
        <v>17.574488993927709</v>
      </c>
      <c r="T7" s="166">
        <v>13.639598056748326</v>
      </c>
      <c r="U7" s="166">
        <v>14.285683256151303</v>
      </c>
      <c r="V7" s="166">
        <v>20.744466193815857</v>
      </c>
      <c r="W7" s="166">
        <v>26.162277247237174</v>
      </c>
      <c r="X7" s="166">
        <v>42.640140875089152</v>
      </c>
      <c r="Y7" s="166">
        <v>49.712200734072475</v>
      </c>
      <c r="Z7" s="166">
        <v>58.973615053128292</v>
      </c>
      <c r="AA7" s="166"/>
      <c r="AB7" s="166">
        <v>92.283608314913693</v>
      </c>
      <c r="AC7" s="166">
        <v>79.832254931661765</v>
      </c>
      <c r="AD7" s="166">
        <v>80.223366063504372</v>
      </c>
      <c r="AE7" s="166">
        <v>76.013750301264565</v>
      </c>
      <c r="AF7" s="166">
        <v>70.001422198956163</v>
      </c>
      <c r="AG7" s="166">
        <v>63.583242992653673</v>
      </c>
      <c r="AH7" s="166">
        <v>69.512739348663771</v>
      </c>
      <c r="AI7" s="166">
        <v>75.125962277814267</v>
      </c>
      <c r="AJ7" s="166">
        <v>80.651216809185371</v>
      </c>
      <c r="AK7" s="166">
        <v>83.481684586931166</v>
      </c>
      <c r="AL7" s="166">
        <v>88.012440153612545</v>
      </c>
      <c r="AM7" s="32">
        <v>92.395907806184496</v>
      </c>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row>
    <row r="8" spans="1:131">
      <c r="A8" s="11" t="s">
        <v>668</v>
      </c>
      <c r="B8" s="11"/>
      <c r="C8" s="166">
        <v>3303.4620964582305</v>
      </c>
      <c r="D8" s="166">
        <v>532.0694632777404</v>
      </c>
      <c r="E8" s="166">
        <v>106.41389265554808</v>
      </c>
      <c r="F8" s="166">
        <v>638.48335593328852</v>
      </c>
      <c r="G8" s="166">
        <v>770.19145647650839</v>
      </c>
      <c r="H8" s="166">
        <v>2382.490575026065</v>
      </c>
      <c r="I8" s="166">
        <v>1693.1068178358096</v>
      </c>
      <c r="J8" s="166">
        <v>-13.939148975778181</v>
      </c>
      <c r="K8" s="166">
        <v>-0.62111891223650506</v>
      </c>
      <c r="L8" s="383">
        <v>3.0933744525361835</v>
      </c>
      <c r="M8" s="166">
        <v>31.383035165897827</v>
      </c>
      <c r="N8" s="166">
        <v>0.77216098993777771</v>
      </c>
      <c r="O8" s="166">
        <v>137.27504463213276</v>
      </c>
      <c r="P8" s="166">
        <v>100.94147321518288</v>
      </c>
      <c r="Q8" s="166">
        <v>93.449232331361458</v>
      </c>
      <c r="R8" s="166">
        <v>53.439529924317611</v>
      </c>
      <c r="S8" s="166">
        <v>42.924741103873792</v>
      </c>
      <c r="T8" s="166">
        <v>33.313982304072347</v>
      </c>
      <c r="U8" s="166">
        <v>34.892010542901922</v>
      </c>
      <c r="V8" s="166">
        <v>50.667239372665343</v>
      </c>
      <c r="W8" s="166">
        <v>63.899950542712368</v>
      </c>
      <c r="X8" s="166">
        <v>104.1462433603796</v>
      </c>
      <c r="Y8" s="166">
        <v>121.41936797998275</v>
      </c>
      <c r="Z8" s="166">
        <v>144.03987273767663</v>
      </c>
      <c r="AA8" s="166"/>
      <c r="AB8" s="166">
        <v>225.39773397779277</v>
      </c>
      <c r="AC8" s="166">
        <v>194.98597517481414</v>
      </c>
      <c r="AD8" s="166">
        <v>195.9412430112211</v>
      </c>
      <c r="AE8" s="166">
        <v>185.65948364949148</v>
      </c>
      <c r="AF8" s="166">
        <v>170.97469666579579</v>
      </c>
      <c r="AG8" s="166">
        <v>155.29864025903538</v>
      </c>
      <c r="AH8" s="166">
        <v>169.7811151717363</v>
      </c>
      <c r="AI8" s="166">
        <v>183.49110930444562</v>
      </c>
      <c r="AJ8" s="166">
        <v>196.98624537207505</v>
      </c>
      <c r="AK8" s="166">
        <v>203.89951019613758</v>
      </c>
      <c r="AL8" s="166">
        <v>214.96563620252846</v>
      </c>
      <c r="AM8" s="32">
        <v>225.67201942589662</v>
      </c>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row>
    <row r="9" spans="1:131">
      <c r="A9" s="11" t="s">
        <v>671</v>
      </c>
      <c r="B9" s="11"/>
      <c r="C9" s="166">
        <v>754.1040131826594</v>
      </c>
      <c r="D9" s="166">
        <v>162.01157721295672</v>
      </c>
      <c r="E9" s="166">
        <v>32.402315442591345</v>
      </c>
      <c r="F9" s="166">
        <v>194.41389265554807</v>
      </c>
      <c r="G9" s="166">
        <v>234.51812447760847</v>
      </c>
      <c r="H9" s="166">
        <v>543.86750976294604</v>
      </c>
      <c r="I9" s="166">
        <v>2258.3962820657789</v>
      </c>
      <c r="J9" s="166">
        <v>-12.657957334477748</v>
      </c>
      <c r="K9" s="166">
        <v>5.1066569610271282</v>
      </c>
      <c r="L9" s="383">
        <v>2.3190851921335143</v>
      </c>
      <c r="M9" s="166">
        <v>7.1640212823477789</v>
      </c>
      <c r="N9" s="166">
        <v>0.1762664999121584</v>
      </c>
      <c r="O9" s="166">
        <v>31.336718583182005</v>
      </c>
      <c r="P9" s="166">
        <v>23.042604342199336</v>
      </c>
      <c r="Q9" s="166">
        <v>21.332298985804162</v>
      </c>
      <c r="R9" s="166">
        <v>12.19900904016087</v>
      </c>
      <c r="S9" s="166">
        <v>9.7987258779093338</v>
      </c>
      <c r="T9" s="166">
        <v>7.6048118661726276</v>
      </c>
      <c r="U9" s="166">
        <v>7.965039225551986</v>
      </c>
      <c r="V9" s="166">
        <v>11.566159208782222</v>
      </c>
      <c r="W9" s="166">
        <v>14.586881198999142</v>
      </c>
      <c r="X9" s="166">
        <v>23.774179264887835</v>
      </c>
      <c r="Y9" s="166">
        <v>27.717234222234651</v>
      </c>
      <c r="Z9" s="166">
        <v>32.880972421708215</v>
      </c>
      <c r="AA9" s="166"/>
      <c r="AB9" s="166">
        <v>51.453090966948281</v>
      </c>
      <c r="AC9" s="166">
        <v>44.510789620171131</v>
      </c>
      <c r="AD9" s="166">
        <v>44.728855179292005</v>
      </c>
      <c r="AE9" s="166">
        <v>42.381767254302176</v>
      </c>
      <c r="AF9" s="166">
        <v>39.029569931072679</v>
      </c>
      <c r="AG9" s="166">
        <v>35.451088718925604</v>
      </c>
      <c r="AH9" s="166">
        <v>38.757102874254976</v>
      </c>
      <c r="AI9" s="166">
        <v>41.886777528997158</v>
      </c>
      <c r="AJ9" s="166">
        <v>44.967405055481052</v>
      </c>
      <c r="AK9" s="166">
        <v>46.545543564655858</v>
      </c>
      <c r="AL9" s="166">
        <v>49.071684258309148</v>
      </c>
      <c r="AM9" s="32">
        <v>51.515703992656817</v>
      </c>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row>
    <row r="10" spans="1:131">
      <c r="A10" s="11" t="s">
        <v>672</v>
      </c>
      <c r="B10" s="11"/>
      <c r="C10" s="166">
        <v>1352.5220365469634</v>
      </c>
      <c r="D10" s="166">
        <v>324.02315442591345</v>
      </c>
      <c r="E10" s="166">
        <v>64.804630885182689</v>
      </c>
      <c r="F10" s="166">
        <v>388.82778531109614</v>
      </c>
      <c r="G10" s="166">
        <v>469.03624895521693</v>
      </c>
      <c r="H10" s="166">
        <v>975.45269492967157</v>
      </c>
      <c r="I10" s="166">
        <v>2518.3555663323432</v>
      </c>
      <c r="J10" s="166">
        <v>-12.06877659937515</v>
      </c>
      <c r="K10" s="166">
        <v>7.7406853848209352</v>
      </c>
      <c r="L10" s="383">
        <v>2.0796957529455398</v>
      </c>
      <c r="M10" s="166">
        <v>12.849018816081845</v>
      </c>
      <c r="N10" s="166">
        <v>0.3161424966166454</v>
      </c>
      <c r="O10" s="166">
        <v>56.203921071771596</v>
      </c>
      <c r="P10" s="166">
        <v>41.328025852460748</v>
      </c>
      <c r="Q10" s="166">
        <v>38.26051043905521</v>
      </c>
      <c r="R10" s="166">
        <v>21.879512988159497</v>
      </c>
      <c r="S10" s="166">
        <v>17.574488993927709</v>
      </c>
      <c r="T10" s="166">
        <v>13.639598056748326</v>
      </c>
      <c r="U10" s="166">
        <v>14.285683256151303</v>
      </c>
      <c r="V10" s="166">
        <v>20.744466193815857</v>
      </c>
      <c r="W10" s="166">
        <v>26.162277247237174</v>
      </c>
      <c r="X10" s="166">
        <v>42.640140875089152</v>
      </c>
      <c r="Y10" s="166">
        <v>49.712200734072475</v>
      </c>
      <c r="Z10" s="166">
        <v>58.973615053128292</v>
      </c>
      <c r="AA10" s="166"/>
      <c r="AB10" s="166">
        <v>92.283608314913693</v>
      </c>
      <c r="AC10" s="166">
        <v>79.832254931661765</v>
      </c>
      <c r="AD10" s="166">
        <v>80.223366063504372</v>
      </c>
      <c r="AE10" s="166">
        <v>76.013750301264565</v>
      </c>
      <c r="AF10" s="166">
        <v>70.001422198956163</v>
      </c>
      <c r="AG10" s="166">
        <v>63.583242992653673</v>
      </c>
      <c r="AH10" s="166">
        <v>69.512739348663771</v>
      </c>
      <c r="AI10" s="166">
        <v>75.125962277814267</v>
      </c>
      <c r="AJ10" s="166">
        <v>80.651216809185371</v>
      </c>
      <c r="AK10" s="166">
        <v>83.481684586931166</v>
      </c>
      <c r="AL10" s="166">
        <v>88.012440153612545</v>
      </c>
      <c r="AM10" s="32">
        <v>92.395907806184496</v>
      </c>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row>
    <row r="11" spans="1:131">
      <c r="A11" s="11" t="s">
        <v>673</v>
      </c>
      <c r="B11" s="11"/>
      <c r="C11" s="166">
        <v>3303.4620964582305</v>
      </c>
      <c r="D11" s="166">
        <v>972.0694632777404</v>
      </c>
      <c r="E11" s="166">
        <v>194.4138926555481</v>
      </c>
      <c r="F11" s="166">
        <v>1166.4833559332885</v>
      </c>
      <c r="G11" s="166">
        <v>1407.108746865651</v>
      </c>
      <c r="H11" s="166">
        <v>2382.490575026065</v>
      </c>
      <c r="I11" s="166">
        <v>3093.2379121077679</v>
      </c>
      <c r="J11" s="166">
        <v>-10.765843318738163</v>
      </c>
      <c r="K11" s="166">
        <v>13.565660797343634</v>
      </c>
      <c r="L11" s="383">
        <v>1.693181554256618</v>
      </c>
      <c r="M11" s="166">
        <v>31.383035165897827</v>
      </c>
      <c r="N11" s="166">
        <v>0.77216098993777771</v>
      </c>
      <c r="O11" s="166">
        <v>137.27504463213276</v>
      </c>
      <c r="P11" s="166">
        <v>100.94147321518288</v>
      </c>
      <c r="Q11" s="166">
        <v>93.449232331361458</v>
      </c>
      <c r="R11" s="166">
        <v>53.439529924317611</v>
      </c>
      <c r="S11" s="166">
        <v>42.924741103873792</v>
      </c>
      <c r="T11" s="166">
        <v>33.313982304072347</v>
      </c>
      <c r="U11" s="166">
        <v>34.892010542901922</v>
      </c>
      <c r="V11" s="166">
        <v>50.667239372665343</v>
      </c>
      <c r="W11" s="166">
        <v>63.899950542712368</v>
      </c>
      <c r="X11" s="166">
        <v>104.1462433603796</v>
      </c>
      <c r="Y11" s="166">
        <v>121.41936797998275</v>
      </c>
      <c r="Z11" s="166">
        <v>144.03987273767663</v>
      </c>
      <c r="AA11" s="166"/>
      <c r="AB11" s="166">
        <v>225.39773397779277</v>
      </c>
      <c r="AC11" s="166">
        <v>194.98597517481414</v>
      </c>
      <c r="AD11" s="166">
        <v>195.9412430112211</v>
      </c>
      <c r="AE11" s="166">
        <v>185.65948364949148</v>
      </c>
      <c r="AF11" s="166">
        <v>170.97469666579579</v>
      </c>
      <c r="AG11" s="166">
        <v>155.29864025903538</v>
      </c>
      <c r="AH11" s="166">
        <v>169.7811151717363</v>
      </c>
      <c r="AI11" s="166">
        <v>183.49110930444562</v>
      </c>
      <c r="AJ11" s="166">
        <v>196.98624537207505</v>
      </c>
      <c r="AK11" s="166">
        <v>203.89951019613758</v>
      </c>
      <c r="AL11" s="166">
        <v>214.96563620252846</v>
      </c>
      <c r="AM11" s="32">
        <v>225.67201942589662</v>
      </c>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row>
    <row r="12" spans="1:131">
      <c r="A12" s="11" t="s">
        <v>669</v>
      </c>
      <c r="B12" s="11"/>
      <c r="C12" s="166">
        <v>345.42828990947618</v>
      </c>
      <c r="D12" s="166">
        <v>113.40810404906972</v>
      </c>
      <c r="E12" s="166">
        <v>22.681620809813946</v>
      </c>
      <c r="F12" s="166">
        <v>136.08972485888367</v>
      </c>
      <c r="G12" s="166">
        <v>164.16268713432595</v>
      </c>
      <c r="H12" s="166">
        <v>249.12640769786555</v>
      </c>
      <c r="I12" s="166">
        <v>3451.2112197765787</v>
      </c>
      <c r="J12" s="166">
        <v>-9.9545202026799231</v>
      </c>
      <c r="K12" s="166">
        <v>17.192812910873307</v>
      </c>
      <c r="L12" s="383">
        <v>1.5175580519952023</v>
      </c>
      <c r="M12" s="166">
        <v>3.2815839422367321</v>
      </c>
      <c r="N12" s="166">
        <v>8.0741428992020942E-2</v>
      </c>
      <c r="O12" s="166">
        <v>14.354238834876915</v>
      </c>
      <c r="P12" s="166">
        <v>10.554999408362274</v>
      </c>
      <c r="Q12" s="166">
        <v>9.7715692128522278</v>
      </c>
      <c r="R12" s="166">
        <v>5.5879331732349788</v>
      </c>
      <c r="S12" s="166">
        <v>4.4884486279455649</v>
      </c>
      <c r="T12" s="166">
        <v>3.4834944677306874</v>
      </c>
      <c r="U12" s="166">
        <v>3.6485018388012316</v>
      </c>
      <c r="V12" s="166">
        <v>5.2980471214421785</v>
      </c>
      <c r="W12" s="166">
        <v>6.6817326782512199</v>
      </c>
      <c r="X12" s="166">
        <v>10.890107921335716</v>
      </c>
      <c r="Y12" s="166">
        <v>12.696281482442966</v>
      </c>
      <c r="Z12" s="166">
        <v>15.061606722201828</v>
      </c>
      <c r="AA12" s="166"/>
      <c r="AB12" s="166">
        <v>23.568835217118238</v>
      </c>
      <c r="AC12" s="166">
        <v>20.388813309884839</v>
      </c>
      <c r="AD12" s="166">
        <v>20.488701404707946</v>
      </c>
      <c r="AE12" s="166">
        <v>19.413583710035187</v>
      </c>
      <c r="AF12" s="166">
        <v>17.878061065201031</v>
      </c>
      <c r="AG12" s="166">
        <v>16.238885800282048</v>
      </c>
      <c r="AH12" s="166">
        <v>17.753253574658729</v>
      </c>
      <c r="AI12" s="166">
        <v>19.186846481024503</v>
      </c>
      <c r="AJ12" s="166">
        <v>20.597972638317124</v>
      </c>
      <c r="AK12" s="166">
        <v>21.320861890906876</v>
      </c>
      <c r="AL12" s="166">
        <v>22.477997305419027</v>
      </c>
      <c r="AM12" s="32">
        <v>23.5975160224428</v>
      </c>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row>
    <row r="13" spans="1:131">
      <c r="A13" s="11" t="s">
        <v>670</v>
      </c>
      <c r="B13" s="11"/>
      <c r="C13" s="166">
        <v>462.19278227324287</v>
      </c>
      <c r="D13" s="166">
        <v>162.01157721295672</v>
      </c>
      <c r="E13" s="166">
        <v>32.402315442591345</v>
      </c>
      <c r="F13" s="166">
        <v>194.41389265554807</v>
      </c>
      <c r="G13" s="166">
        <v>234.51812447760847</v>
      </c>
      <c r="H13" s="166">
        <v>333.33815114503147</v>
      </c>
      <c r="I13" s="166">
        <v>3684.751828633639</v>
      </c>
      <c r="J13" s="166">
        <v>-9.4252156695068887</v>
      </c>
      <c r="K13" s="166">
        <v>19.559155023158965</v>
      </c>
      <c r="L13" s="383">
        <v>1.4213747951786055</v>
      </c>
      <c r="M13" s="166">
        <v>4.3908517536970244</v>
      </c>
      <c r="N13" s="166">
        <v>0.10803430639777449</v>
      </c>
      <c r="O13" s="166">
        <v>19.206375905821229</v>
      </c>
      <c r="P13" s="166">
        <v>14.122886532315722</v>
      </c>
      <c r="Q13" s="166">
        <v>13.074634862267068</v>
      </c>
      <c r="R13" s="166">
        <v>7.4768119923566623</v>
      </c>
      <c r="S13" s="166">
        <v>6.0056706993637858</v>
      </c>
      <c r="T13" s="166">
        <v>4.6610137244283845</v>
      </c>
      <c r="U13" s="166">
        <v>4.881798235015733</v>
      </c>
      <c r="V13" s="166">
        <v>7.0889362892536205</v>
      </c>
      <c r="W13" s="166">
        <v>8.9403465413220555</v>
      </c>
      <c r="X13" s="166">
        <v>14.571271162350607</v>
      </c>
      <c r="Y13" s="166">
        <v>16.987982265240593</v>
      </c>
      <c r="Z13" s="166">
        <v>20.152854064917939</v>
      </c>
      <c r="AA13" s="166"/>
      <c r="AB13" s="166">
        <v>31.535765431355397</v>
      </c>
      <c r="AC13" s="166">
        <v>27.280806541395208</v>
      </c>
      <c r="AD13" s="166">
        <v>27.414459626017681</v>
      </c>
      <c r="AE13" s="166">
        <v>25.975921865540045</v>
      </c>
      <c r="AF13" s="166">
        <v>23.92134931259293</v>
      </c>
      <c r="AG13" s="166">
        <v>21.728086634180208</v>
      </c>
      <c r="AH13" s="166">
        <v>23.754353374543371</v>
      </c>
      <c r="AI13" s="166">
        <v>25.67254106615955</v>
      </c>
      <c r="AJ13" s="166">
        <v>27.560667614649677</v>
      </c>
      <c r="AK13" s="166">
        <v>28.5279137976923</v>
      </c>
      <c r="AL13" s="166">
        <v>30.076193577673347</v>
      </c>
      <c r="AM13" s="32">
        <v>31.574141156789665</v>
      </c>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row>
    <row r="14" spans="1:131">
      <c r="A14" s="11"/>
      <c r="B14" s="11"/>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19"/>
  <dimension ref="A1:EA144"/>
  <sheetViews>
    <sheetView workbookViewId="0">
      <selection activeCell="A34" sqref="A34:EA144"/>
    </sheetView>
  </sheetViews>
  <sheetFormatPr defaultRowHeight="12.75"/>
  <cols>
    <col min="1" max="1" width="36" customWidth="1"/>
    <col min="2" max="2" width="53.2851562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05">
      <c r="A1" s="2" t="s">
        <v>10</v>
      </c>
      <c r="B1" s="3"/>
      <c r="C1" s="3"/>
      <c r="D1" s="3"/>
      <c r="E1" s="3"/>
      <c r="F1" s="3"/>
      <c r="G1" s="3"/>
      <c r="H1" s="4"/>
      <c r="I1" s="5"/>
      <c r="J1" s="5"/>
      <c r="K1" s="5"/>
      <c r="L1" s="5"/>
      <c r="M1" s="5"/>
      <c r="N1" s="6"/>
      <c r="O1" s="7" t="e">
        <v>#REF!</v>
      </c>
      <c r="P1" s="6"/>
      <c r="Q1" s="6"/>
      <c r="R1" s="6"/>
      <c r="S1" s="4"/>
      <c r="T1" s="4"/>
      <c r="U1" s="4"/>
      <c r="V1" s="6"/>
      <c r="W1" s="4"/>
      <c r="X1" s="4"/>
      <c r="Y1" s="4"/>
      <c r="Z1" s="4"/>
      <c r="AA1" s="4"/>
      <c r="AB1" s="4"/>
      <c r="AC1" s="4"/>
      <c r="AD1" s="4"/>
      <c r="AE1" s="4"/>
      <c r="AF1" s="4"/>
      <c r="AG1" s="4"/>
      <c r="AH1" s="4"/>
      <c r="AI1" s="4"/>
      <c r="AJ1" s="4"/>
      <c r="AK1" s="4"/>
      <c r="AL1" s="4"/>
      <c r="AM1" s="4"/>
      <c r="AN1" s="4"/>
      <c r="AO1" s="4"/>
      <c r="AP1" s="8"/>
      <c r="AQ1" s="4"/>
      <c r="AR1" s="4"/>
      <c r="AS1" s="4"/>
      <c r="AT1" s="4"/>
      <c r="AU1" s="4"/>
      <c r="AV1" s="8"/>
      <c r="AW1" s="4"/>
      <c r="AX1" s="4"/>
      <c r="AY1" s="4"/>
      <c r="AZ1" s="4"/>
      <c r="BA1" s="4"/>
      <c r="BB1" s="4"/>
      <c r="BC1" s="4"/>
      <c r="BD1" s="4"/>
      <c r="BE1" s="4"/>
      <c r="BF1" s="4"/>
      <c r="BG1" s="4"/>
      <c r="BH1" s="4"/>
      <c r="BI1" s="4"/>
      <c r="BJ1" s="4"/>
      <c r="BK1" s="4"/>
      <c r="BL1" s="4"/>
      <c r="BM1" s="9"/>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8"/>
      <c r="CQ1" s="4"/>
      <c r="CR1" s="4"/>
      <c r="CS1" s="4"/>
      <c r="CT1" s="4"/>
      <c r="CU1" s="4"/>
      <c r="CV1" s="4"/>
      <c r="CW1" s="4"/>
      <c r="CX1" s="4"/>
      <c r="CY1" s="4"/>
      <c r="CZ1" s="4"/>
      <c r="DA1" s="4"/>
    </row>
    <row r="2" spans="1:105">
      <c r="A2" s="10" t="s">
        <v>11</v>
      </c>
      <c r="B2" s="4" t="str">
        <f>'7PSourceSummary'!D2</f>
        <v>Street and Roadway Lighting</v>
      </c>
      <c r="C2" s="4"/>
      <c r="D2" s="4"/>
      <c r="E2" s="4"/>
      <c r="F2" s="4"/>
      <c r="G2" s="4"/>
      <c r="H2" s="4"/>
      <c r="I2" s="5"/>
      <c r="J2" s="5"/>
      <c r="K2" s="5"/>
      <c r="L2" s="5"/>
      <c r="M2" s="5"/>
      <c r="N2" s="6"/>
      <c r="O2" s="6"/>
      <c r="P2" s="6"/>
      <c r="Q2" s="6"/>
      <c r="R2" s="6"/>
      <c r="S2" s="4"/>
      <c r="T2" s="4"/>
      <c r="U2" s="4"/>
      <c r="V2" s="6"/>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8"/>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05">
      <c r="A3" s="10" t="s">
        <v>12</v>
      </c>
      <c r="B3" s="11"/>
      <c r="C3" s="10">
        <v>2012</v>
      </c>
      <c r="D3" s="11"/>
      <c r="E3" s="11"/>
      <c r="F3" s="11"/>
      <c r="G3" s="11"/>
      <c r="H3" s="11"/>
      <c r="I3" s="11"/>
      <c r="J3" s="12"/>
      <c r="K3" s="13"/>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3"/>
      <c r="CP3" s="13"/>
      <c r="CQ3" s="11"/>
      <c r="CR3" s="11"/>
      <c r="CS3" s="11"/>
      <c r="CT3" s="11"/>
      <c r="CU3" s="11"/>
      <c r="CV3" s="11"/>
      <c r="CW3" s="11"/>
      <c r="CX3" s="11"/>
      <c r="CY3" s="11"/>
      <c r="CZ3" s="11"/>
      <c r="DA3" s="11"/>
    </row>
    <row r="4" spans="1:105" ht="38.25">
      <c r="A4" s="11"/>
      <c r="B4" s="14" t="s">
        <v>674</v>
      </c>
      <c r="C4" s="241" t="s">
        <v>675</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row>
    <row r="5" spans="1:105">
      <c r="A5" s="15">
        <v>1</v>
      </c>
      <c r="B5" s="15">
        <v>2</v>
      </c>
      <c r="C5" s="15">
        <v>3</v>
      </c>
      <c r="D5" s="15">
        <v>4</v>
      </c>
      <c r="E5" s="15">
        <v>5</v>
      </c>
      <c r="F5" s="15">
        <v>6</v>
      </c>
      <c r="G5" s="15">
        <v>7</v>
      </c>
      <c r="H5" s="15">
        <v>8</v>
      </c>
      <c r="I5" s="15">
        <v>9</v>
      </c>
      <c r="J5" s="15">
        <v>10</v>
      </c>
      <c r="K5" s="15">
        <v>11</v>
      </c>
      <c r="L5" s="15">
        <v>12</v>
      </c>
      <c r="M5" s="15">
        <v>13</v>
      </c>
      <c r="N5" s="15">
        <v>14</v>
      </c>
      <c r="O5" s="15">
        <v>15</v>
      </c>
      <c r="P5" s="15">
        <v>16</v>
      </c>
      <c r="Q5" s="15">
        <v>17</v>
      </c>
      <c r="R5" s="15">
        <v>18</v>
      </c>
      <c r="S5" s="15">
        <v>19</v>
      </c>
      <c r="T5" s="15">
        <v>20</v>
      </c>
      <c r="U5" s="15">
        <v>21</v>
      </c>
      <c r="V5" s="15">
        <v>22</v>
      </c>
      <c r="W5" s="15">
        <v>23</v>
      </c>
      <c r="X5" s="15">
        <v>24</v>
      </c>
      <c r="Y5" s="15">
        <v>25</v>
      </c>
      <c r="Z5" s="15">
        <v>26</v>
      </c>
      <c r="AA5" s="15">
        <v>27</v>
      </c>
      <c r="AB5" s="15">
        <v>28</v>
      </c>
      <c r="AC5" s="15">
        <v>29</v>
      </c>
      <c r="AD5" s="15">
        <v>30</v>
      </c>
      <c r="AE5" s="15">
        <v>31</v>
      </c>
      <c r="AF5" s="15">
        <v>32</v>
      </c>
      <c r="AG5" s="15">
        <v>33</v>
      </c>
      <c r="AH5" s="15">
        <v>34</v>
      </c>
      <c r="AI5" s="15">
        <v>35</v>
      </c>
      <c r="AJ5" s="15">
        <v>36</v>
      </c>
      <c r="AK5" s="15">
        <v>37</v>
      </c>
      <c r="AL5" s="15">
        <v>38</v>
      </c>
      <c r="AM5" s="15">
        <v>39</v>
      </c>
      <c r="AN5" s="15">
        <v>40</v>
      </c>
      <c r="AO5" s="15">
        <v>41</v>
      </c>
      <c r="AP5" s="15">
        <v>42</v>
      </c>
      <c r="AQ5" s="15">
        <v>43</v>
      </c>
      <c r="AR5" s="15">
        <v>44</v>
      </c>
      <c r="AS5" s="15">
        <v>45</v>
      </c>
      <c r="AT5" s="15">
        <v>46</v>
      </c>
      <c r="AU5" s="15">
        <v>47</v>
      </c>
      <c r="AV5" s="15">
        <v>48</v>
      </c>
      <c r="AW5" s="15">
        <v>49</v>
      </c>
      <c r="AX5" s="15">
        <v>50</v>
      </c>
      <c r="AY5" s="15">
        <v>51</v>
      </c>
      <c r="AZ5" s="15">
        <v>52</v>
      </c>
      <c r="BA5" s="15">
        <v>53</v>
      </c>
      <c r="BB5" s="15">
        <v>54</v>
      </c>
      <c r="BC5" s="15">
        <v>55</v>
      </c>
      <c r="BD5" s="15">
        <v>56</v>
      </c>
      <c r="BE5" s="15">
        <v>57</v>
      </c>
      <c r="BF5" s="15">
        <v>58</v>
      </c>
      <c r="BG5" s="15">
        <v>59</v>
      </c>
      <c r="BH5" s="15">
        <v>60</v>
      </c>
      <c r="BI5" s="15">
        <v>61</v>
      </c>
      <c r="BJ5" s="15">
        <v>62</v>
      </c>
      <c r="BK5" s="15">
        <v>63</v>
      </c>
      <c r="BL5" s="15">
        <v>64</v>
      </c>
      <c r="BM5" s="15">
        <v>65</v>
      </c>
      <c r="BN5" s="15">
        <v>66</v>
      </c>
      <c r="BO5" s="15">
        <v>67</v>
      </c>
      <c r="BP5" s="15">
        <v>68</v>
      </c>
      <c r="BQ5" s="15">
        <v>69</v>
      </c>
      <c r="BR5" s="15">
        <v>70</v>
      </c>
      <c r="BS5" s="15">
        <v>71</v>
      </c>
      <c r="BT5" s="15">
        <v>72</v>
      </c>
      <c r="BU5" s="15">
        <v>73</v>
      </c>
      <c r="BV5" s="15">
        <v>74</v>
      </c>
      <c r="BW5" s="15">
        <v>75</v>
      </c>
      <c r="BX5" s="15">
        <v>76</v>
      </c>
      <c r="BY5" s="15">
        <v>77</v>
      </c>
      <c r="BZ5" s="15">
        <v>78</v>
      </c>
      <c r="CA5" s="15">
        <v>79</v>
      </c>
      <c r="CB5" s="15">
        <v>80</v>
      </c>
      <c r="CC5" s="15">
        <v>81</v>
      </c>
      <c r="CD5" s="15">
        <v>82</v>
      </c>
      <c r="CE5" s="15">
        <v>83</v>
      </c>
      <c r="CF5" s="15">
        <v>84</v>
      </c>
      <c r="CG5" s="15">
        <v>85</v>
      </c>
      <c r="CH5" s="15">
        <v>86</v>
      </c>
      <c r="CI5" s="15">
        <v>87</v>
      </c>
      <c r="CJ5" s="15">
        <v>88</v>
      </c>
      <c r="CK5" s="15">
        <v>89</v>
      </c>
      <c r="CL5" s="15">
        <v>90</v>
      </c>
      <c r="CM5" s="15">
        <v>91</v>
      </c>
      <c r="CN5" s="15">
        <v>92</v>
      </c>
      <c r="CO5" s="15">
        <v>93</v>
      </c>
      <c r="CP5" s="15">
        <v>94</v>
      </c>
      <c r="CQ5" s="15">
        <v>95</v>
      </c>
      <c r="CR5" s="15">
        <v>96</v>
      </c>
      <c r="CS5" s="15">
        <v>97</v>
      </c>
      <c r="CT5" s="15">
        <v>98</v>
      </c>
      <c r="CU5" s="15">
        <v>99</v>
      </c>
      <c r="CV5" s="15">
        <v>100</v>
      </c>
      <c r="CW5" s="15">
        <v>101</v>
      </c>
      <c r="CX5" s="15">
        <v>102</v>
      </c>
      <c r="CY5" s="15">
        <v>103</v>
      </c>
      <c r="CZ5" s="15">
        <v>104</v>
      </c>
      <c r="DA5" s="15">
        <v>105</v>
      </c>
    </row>
    <row r="6" spans="1:105">
      <c r="A6" s="16" t="s">
        <v>13</v>
      </c>
      <c r="B6" s="17"/>
      <c r="C6" s="17"/>
      <c r="D6" s="17"/>
      <c r="E6" s="17"/>
      <c r="F6" s="17"/>
      <c r="G6" s="18"/>
      <c r="H6" s="19"/>
      <c r="I6" s="445" t="s">
        <v>14</v>
      </c>
      <c r="J6" s="446"/>
      <c r="K6" s="446"/>
      <c r="L6" s="446"/>
      <c r="M6" s="446"/>
      <c r="N6" s="447"/>
      <c r="O6" s="448" t="s">
        <v>15</v>
      </c>
      <c r="P6" s="449"/>
      <c r="Q6" s="20" t="s">
        <v>16</v>
      </c>
      <c r="R6" s="450" t="s">
        <v>17</v>
      </c>
      <c r="S6" s="450"/>
      <c r="T6" s="450"/>
      <c r="U6" s="21"/>
      <c r="V6" s="21"/>
      <c r="W6" s="21"/>
      <c r="X6" s="22"/>
      <c r="Y6" s="23"/>
      <c r="Z6" s="21"/>
      <c r="AA6" s="21"/>
      <c r="AB6" s="21"/>
      <c r="AC6" s="21"/>
      <c r="AD6" s="21"/>
      <c r="AE6" s="24"/>
      <c r="AF6" s="24"/>
      <c r="AG6" s="24"/>
      <c r="AH6" s="24"/>
      <c r="AI6" s="24"/>
      <c r="AJ6" s="24"/>
      <c r="AK6" s="24"/>
      <c r="AL6" s="24"/>
      <c r="AM6" s="24"/>
      <c r="AN6" s="24"/>
      <c r="AO6" s="2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row>
    <row r="7" spans="1:105" ht="25.5">
      <c r="A7" s="25" t="s">
        <v>18</v>
      </c>
      <c r="B7" s="25" t="s">
        <v>19</v>
      </c>
      <c r="C7" s="25" t="s">
        <v>20</v>
      </c>
      <c r="D7" s="25" t="s">
        <v>21</v>
      </c>
      <c r="E7" s="25" t="s">
        <v>22</v>
      </c>
      <c r="F7" s="26" t="s">
        <v>23</v>
      </c>
      <c r="G7" s="25" t="s">
        <v>24</v>
      </c>
      <c r="H7" s="27" t="s">
        <v>25</v>
      </c>
      <c r="I7" s="27" t="s">
        <v>26</v>
      </c>
      <c r="J7" s="27" t="s">
        <v>27</v>
      </c>
      <c r="K7" s="27" t="s">
        <v>28</v>
      </c>
      <c r="L7" s="27" t="s">
        <v>29</v>
      </c>
      <c r="M7" s="27" t="s">
        <v>30</v>
      </c>
      <c r="N7" s="27" t="s">
        <v>31</v>
      </c>
      <c r="O7" s="28" t="s">
        <v>32</v>
      </c>
      <c r="P7" s="27" t="s">
        <v>24</v>
      </c>
      <c r="Q7" s="29" t="s">
        <v>33</v>
      </c>
      <c r="R7" s="30" t="s">
        <v>34</v>
      </c>
      <c r="S7" s="30" t="s">
        <v>35</v>
      </c>
      <c r="T7" s="30" t="s">
        <v>36</v>
      </c>
      <c r="U7" s="31"/>
      <c r="V7" s="31"/>
      <c r="W7" s="31"/>
      <c r="X7" s="31"/>
      <c r="Y7" s="31"/>
      <c r="Z7" s="31"/>
      <c r="AA7" s="31"/>
      <c r="AB7" s="31"/>
      <c r="AC7" s="31"/>
      <c r="AD7" s="31"/>
      <c r="AE7" s="24"/>
      <c r="AF7" s="24"/>
      <c r="AG7" s="24"/>
      <c r="AH7" s="24"/>
      <c r="AI7" s="24"/>
      <c r="AJ7" s="24"/>
      <c r="AK7" s="24"/>
      <c r="AL7" s="24"/>
      <c r="AM7" s="24"/>
      <c r="AN7" s="24"/>
      <c r="AO7" s="2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row>
    <row r="8" spans="1:105">
      <c r="A8" s="63" t="str">
        <f>LEFT(B8,22)&amp;" - New"</f>
        <v>Streetlight - HPS 100W - New</v>
      </c>
      <c r="B8" s="32" t="str">
        <f>MMap!F13</f>
        <v>Streetlight - HPS 100W - Group Relamp - to LED 42W - New</v>
      </c>
      <c r="C8" s="33">
        <f>MMap!G13*VLOOKUP(B8,MMap!$F$13:$AU$36,MATCH('M_Input (WT)(wo OM)'!$C$4,MMap!$F$12:$AU$12,0),FALSE)</f>
        <v>84.924999999999983</v>
      </c>
      <c r="D8" s="63">
        <f>MMap!L13</f>
        <v>16.279069767441861</v>
      </c>
      <c r="E8" s="35">
        <f>MMap!H13*VLOOKUP(B8,MMap!$F$13:$AU$36,MATCH('M_Input (WT)(wo OM)'!$C$4,MMap!$F$12:$AU$12,0),FALSE)</f>
        <v>-2.1479739877325699</v>
      </c>
      <c r="F8" s="35"/>
      <c r="G8" s="36" t="s">
        <v>526</v>
      </c>
      <c r="H8" s="34"/>
      <c r="I8" s="54"/>
      <c r="J8" s="34"/>
      <c r="K8" s="34"/>
      <c r="L8" s="34"/>
      <c r="M8" s="34"/>
      <c r="N8" s="34"/>
      <c r="O8" s="11"/>
      <c r="P8" s="37"/>
      <c r="Q8" s="38" t="s">
        <v>871</v>
      </c>
      <c r="R8" s="34"/>
      <c r="S8" s="34"/>
      <c r="T8" s="34"/>
      <c r="U8" s="31"/>
      <c r="V8" s="31"/>
      <c r="W8" s="31"/>
      <c r="X8" s="31"/>
      <c r="Y8" s="31"/>
      <c r="Z8" s="31"/>
      <c r="AA8" s="31"/>
      <c r="AB8" s="31"/>
      <c r="AC8" s="31"/>
      <c r="AD8" s="31"/>
      <c r="AE8" s="24"/>
      <c r="AF8" s="24"/>
      <c r="AG8" s="24"/>
      <c r="AH8" s="24"/>
      <c r="AI8" s="24"/>
      <c r="AJ8" s="24"/>
      <c r="AK8" s="24"/>
      <c r="AL8" s="24"/>
      <c r="AM8" s="24"/>
      <c r="AN8" s="24"/>
      <c r="AO8" s="24"/>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row>
    <row r="9" spans="1:105">
      <c r="A9" s="63" t="str">
        <f t="shared" ref="A9:A19" si="0">LEFT(B9,22)&amp;" - New"</f>
        <v>Streetlight - HPS 100W - New</v>
      </c>
      <c r="B9" s="32" t="str">
        <f>MMap!F14</f>
        <v>Streetlight - HPS 100W - Tariff Relamp - to LED 42W - New</v>
      </c>
      <c r="C9" s="33">
        <f>MMap!G14*VLOOKUP(B9,MMap!$F$13:$AU$36,MATCH('M_Input (WT)(wo OM)'!$C$4,MMap!$F$12:$AU$12,0),FALSE)</f>
        <v>84.924999999999983</v>
      </c>
      <c r="D9" s="63">
        <f>MMap!L14</f>
        <v>16.279069767441861</v>
      </c>
      <c r="E9" s="35">
        <f>MMap!H14*VLOOKUP(B9,MMap!$F$13:$AU$36,MATCH('M_Input (WT)(wo OM)'!$C$4,MMap!$F$12:$AU$12,0),FALSE)</f>
        <v>-2.1479739877325699</v>
      </c>
      <c r="F9" s="35"/>
      <c r="G9" s="36" t="s">
        <v>526</v>
      </c>
      <c r="H9" s="11"/>
      <c r="I9" s="54"/>
      <c r="J9" s="34"/>
      <c r="K9" s="11"/>
      <c r="L9" s="11"/>
      <c r="M9" s="11"/>
      <c r="N9" s="11"/>
      <c r="O9" s="11"/>
      <c r="P9" s="37"/>
      <c r="Q9" s="38" t="s">
        <v>871</v>
      </c>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row>
    <row r="10" spans="1:105">
      <c r="A10" s="63" t="str">
        <f t="shared" si="0"/>
        <v>Streetlight - HPS 100W - New</v>
      </c>
      <c r="B10" s="32" t="str">
        <f>MMap!F15</f>
        <v>Streetlight - HPS 100W - Group Relamp - to LED 58W - New</v>
      </c>
      <c r="C10" s="33">
        <f>MMap!G15*VLOOKUP(B10,MMap!$F$13:$AU$36,MATCH('M_Input (WT)(wo OM)'!$C$4,MMap!$F$12:$AU$12,0),FALSE)</f>
        <v>67.724999999999994</v>
      </c>
      <c r="D10" s="63">
        <f>MMap!L15</f>
        <v>16.279069767441861</v>
      </c>
      <c r="E10" s="35">
        <f>MMap!H15*VLOOKUP(B10,MMap!$F$13:$AU$36,MATCH('M_Input (WT)(wo OM)'!$C$4,MMap!$F$12:$AU$12,0),FALSE)</f>
        <v>-2.1479739877325699</v>
      </c>
      <c r="F10" s="35"/>
      <c r="G10" s="36" t="s">
        <v>526</v>
      </c>
      <c r="H10" s="11"/>
      <c r="I10" s="54"/>
      <c r="J10" s="34"/>
      <c r="K10" s="11"/>
      <c r="L10" s="11"/>
      <c r="M10" s="11"/>
      <c r="N10" s="11"/>
      <c r="O10" s="11"/>
      <c r="P10" s="37"/>
      <c r="Q10" s="38" t="s">
        <v>871</v>
      </c>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row>
    <row r="11" spans="1:105">
      <c r="A11" s="63" t="str">
        <f t="shared" si="0"/>
        <v>Streetlight - HPS 100W - New</v>
      </c>
      <c r="B11" s="32" t="str">
        <f>MMap!F16</f>
        <v>Streetlight - HPS 100W - Tariff Relamp - to LED 58W - New</v>
      </c>
      <c r="C11" s="33">
        <f>MMap!G16*VLOOKUP(B11,MMap!$F$13:$AU$36,MATCH('M_Input (WT)(wo OM)'!$C$4,MMap!$F$12:$AU$12,0),FALSE)</f>
        <v>67.724999999999994</v>
      </c>
      <c r="D11" s="63">
        <f>MMap!L16</f>
        <v>16.279069767441861</v>
      </c>
      <c r="E11" s="35">
        <f>MMap!H16*VLOOKUP(B11,MMap!$F$13:$AU$36,MATCH('M_Input (WT)(wo OM)'!$C$4,MMap!$F$12:$AU$12,0),FALSE)</f>
        <v>-2.1479739877325699</v>
      </c>
      <c r="F11" s="35"/>
      <c r="G11" s="36" t="s">
        <v>526</v>
      </c>
      <c r="H11" s="11"/>
      <c r="I11" s="54"/>
      <c r="J11" s="34"/>
      <c r="K11" s="11"/>
      <c r="L11" s="11"/>
      <c r="M11" s="11"/>
      <c r="N11" s="11"/>
      <c r="O11" s="11"/>
      <c r="P11" s="11"/>
      <c r="Q11" s="38" t="s">
        <v>871</v>
      </c>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row>
    <row r="12" spans="1:105">
      <c r="A12" s="63" t="str">
        <f t="shared" si="0"/>
        <v>Streetlight - MH 200W  - New</v>
      </c>
      <c r="B12" s="32" t="str">
        <f>MMap!F17</f>
        <v>Streetlight - MH 200W - Group Relamp - to LED 135W - New</v>
      </c>
      <c r="C12" s="33">
        <f>MMap!G17*VLOOKUP(B12,MMap!$F$13:$AU$36,MATCH('M_Input (WT)(wo OM)'!$C$4,MMap!$F$12:$AU$12,0),FALSE)</f>
        <v>204.25</v>
      </c>
      <c r="D12" s="63">
        <f>MMap!L17</f>
        <v>16.279069767441861</v>
      </c>
      <c r="E12" s="35">
        <f>MMap!H17*VLOOKUP(B12,MMap!$F$13:$AU$36,MATCH('M_Input (WT)(wo OM)'!$C$4,MMap!$F$12:$AU$12,0),FALSE)</f>
        <v>1.0057886064783617</v>
      </c>
      <c r="F12" s="35"/>
      <c r="G12" s="36" t="s">
        <v>526</v>
      </c>
      <c r="H12" s="11"/>
      <c r="I12" s="54"/>
      <c r="J12" s="34"/>
      <c r="K12" s="11"/>
      <c r="L12" s="11"/>
      <c r="M12" s="11"/>
      <c r="N12" s="11"/>
      <c r="O12" s="11"/>
      <c r="P12" s="11"/>
      <c r="Q12" s="38" t="s">
        <v>871</v>
      </c>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row>
    <row r="13" spans="1:105">
      <c r="A13" s="63" t="str">
        <f t="shared" si="0"/>
        <v>Streetlight - MH 200W  - New</v>
      </c>
      <c r="B13" s="32" t="str">
        <f>MMap!F18</f>
        <v>Streetlight - MH 200W - Tariff Relamp - to LED 135W - New</v>
      </c>
      <c r="C13" s="33">
        <f>MMap!G18*VLOOKUP(B13,MMap!$F$13:$AU$36,MATCH('M_Input (WT)(wo OM)'!$C$4,MMap!$F$12:$AU$12,0),FALSE)</f>
        <v>204.25</v>
      </c>
      <c r="D13" s="63">
        <f>MMap!L18</f>
        <v>16.279069767441861</v>
      </c>
      <c r="E13" s="35">
        <f>MMap!H18*VLOOKUP(B13,MMap!$F$13:$AU$36,MATCH('M_Input (WT)(wo OM)'!$C$4,MMap!$F$12:$AU$12,0),FALSE)</f>
        <v>1.0057886064783617</v>
      </c>
      <c r="F13" s="35"/>
      <c r="G13" s="36" t="s">
        <v>526</v>
      </c>
      <c r="H13" s="11"/>
      <c r="I13" s="54"/>
      <c r="J13" s="34"/>
      <c r="K13" s="11"/>
      <c r="L13" s="11"/>
      <c r="M13" s="11"/>
      <c r="N13" s="11"/>
      <c r="O13" s="11"/>
      <c r="P13" s="11"/>
      <c r="Q13" s="38" t="s">
        <v>871</v>
      </c>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row>
    <row r="14" spans="1:105">
      <c r="A14" s="63" t="str">
        <f t="shared" si="0"/>
        <v>Streetlight - HPS 250W - New</v>
      </c>
      <c r="B14" s="32" t="str">
        <f>MMap!F19</f>
        <v>Streetlight - HPS 250W - Group Relamp - to LED 135W - New</v>
      </c>
      <c r="C14" s="33">
        <f>MMap!G19*VLOOKUP(B14,MMap!$F$13:$AU$36,MATCH('M_Input (WT)(wo OM)'!$C$4,MMap!$F$12:$AU$12,0),FALSE)</f>
        <v>333.25</v>
      </c>
      <c r="D14" s="63">
        <f>MMap!L19</f>
        <v>16.279069767441861</v>
      </c>
      <c r="E14" s="35">
        <f>MMap!H19*VLOOKUP(B14,MMap!$F$13:$AU$36,MATCH('M_Input (WT)(wo OM)'!$C$4,MMap!$F$12:$AU$12,0),FALSE)</f>
        <v>1.0057886064783617</v>
      </c>
      <c r="F14" s="35"/>
      <c r="G14" s="36" t="s">
        <v>526</v>
      </c>
      <c r="I14" s="54"/>
      <c r="J14" s="34"/>
      <c r="Q14" s="38" t="s">
        <v>871</v>
      </c>
    </row>
    <row r="15" spans="1:105">
      <c r="A15" s="63" t="str">
        <f t="shared" si="0"/>
        <v>Streetlight - HPS 250W - New</v>
      </c>
      <c r="B15" s="32" t="str">
        <f>MMap!F20</f>
        <v>Streetlight - HPS 250W - Tariff Relamp - to LED 135W - New</v>
      </c>
      <c r="C15" s="33">
        <f>MMap!G20*VLOOKUP(B15,MMap!$F$13:$AU$36,MATCH('M_Input (WT)(wo OM)'!$C$4,MMap!$F$12:$AU$12,0),FALSE)</f>
        <v>333.25</v>
      </c>
      <c r="D15" s="63">
        <f>MMap!L20</f>
        <v>16.279069767441861</v>
      </c>
      <c r="E15" s="35">
        <f>MMap!H20*VLOOKUP(B15,MMap!$F$13:$AU$36,MATCH('M_Input (WT)(wo OM)'!$C$4,MMap!$F$12:$AU$12,0),FALSE)</f>
        <v>1.0057886064783617</v>
      </c>
      <c r="F15" s="35"/>
      <c r="G15" s="36" t="s">
        <v>526</v>
      </c>
      <c r="I15" s="54"/>
      <c r="J15" s="34"/>
      <c r="Q15" s="38" t="s">
        <v>871</v>
      </c>
    </row>
    <row r="16" spans="1:105">
      <c r="A16" s="63" t="str">
        <f t="shared" si="0"/>
        <v>Streetlight - MH 400W  - New</v>
      </c>
      <c r="B16" s="32" t="str">
        <f>MMap!F21</f>
        <v>Streetlight - MH 400W - Group Relamp - to LED 180W - New</v>
      </c>
      <c r="C16" s="33">
        <f>MMap!G21*VLOOKUP(B16,MMap!$F$13:$AU$36,MATCH('M_Input (WT)(wo OM)'!$C$4,MMap!$F$12:$AU$12,0),FALSE)</f>
        <v>597.70000000000005</v>
      </c>
      <c r="D16" s="63">
        <f>MMap!L21</f>
        <v>16.279069767441861</v>
      </c>
      <c r="E16" s="35">
        <f>MMap!H21*VLOOKUP(B16,MMap!$F$13:$AU$36,MATCH('M_Input (WT)(wo OM)'!$C$4,MMap!$F$12:$AU$12,0),FALSE)</f>
        <v>67.011577212956723</v>
      </c>
      <c r="F16" s="35"/>
      <c r="G16" s="36" t="s">
        <v>526</v>
      </c>
      <c r="I16" s="54"/>
      <c r="J16" s="34"/>
      <c r="Q16" s="38" t="s">
        <v>871</v>
      </c>
    </row>
    <row r="17" spans="1:17">
      <c r="A17" s="63" t="str">
        <f t="shared" si="0"/>
        <v>Streetlight - MH 400W  - New</v>
      </c>
      <c r="B17" s="32" t="str">
        <f>MMap!F22</f>
        <v>Streetlight - MH 400W - Tariff Relamp - to LED 180W - New</v>
      </c>
      <c r="C17" s="33">
        <f>MMap!G22*VLOOKUP(B17,MMap!$F$13:$AU$36,MATCH('M_Input (WT)(wo OM)'!$C$4,MMap!$F$12:$AU$12,0),FALSE)</f>
        <v>597.70000000000005</v>
      </c>
      <c r="D17" s="63">
        <f>MMap!L22</f>
        <v>16.279069767441861</v>
      </c>
      <c r="E17" s="35">
        <f>MMap!H22*VLOOKUP(B17,MMap!$F$13:$AU$36,MATCH('M_Input (WT)(wo OM)'!$C$4,MMap!$F$12:$AU$12,0),FALSE)</f>
        <v>67.011577212956723</v>
      </c>
      <c r="F17" s="35"/>
      <c r="G17" s="36" t="s">
        <v>526</v>
      </c>
      <c r="I17" s="54"/>
      <c r="J17" s="34"/>
      <c r="Q17" s="38" t="s">
        <v>871</v>
      </c>
    </row>
    <row r="18" spans="1:17">
      <c r="A18" s="63" t="str">
        <f t="shared" si="0"/>
        <v>Streetlight - MH 1000W - New</v>
      </c>
      <c r="B18" s="32" t="str">
        <f>MMap!F23</f>
        <v>Streetlight - MH 1000W - Group Relamp - to LED 421W - New</v>
      </c>
      <c r="C18" s="33">
        <f>MMap!G23*VLOOKUP(B18,MMap!$F$13:$AU$36,MATCH('M_Input (WT)(wo OM)'!$C$4,MMap!$F$12:$AU$12,0),FALSE)</f>
        <v>1459.85</v>
      </c>
      <c r="D18" s="63">
        <f>MMap!L23</f>
        <v>16.279069767441861</v>
      </c>
      <c r="E18" s="35">
        <f>MMap!H23*VLOOKUP(B18,MMap!$F$13:$AU$36,MATCH('M_Input (WT)(wo OM)'!$C$4,MMap!$F$12:$AU$12,0),FALSE)</f>
        <v>266.0347316388702</v>
      </c>
      <c r="F18" s="35"/>
      <c r="G18" s="36" t="s">
        <v>526</v>
      </c>
      <c r="I18" s="54"/>
      <c r="J18" s="34"/>
      <c r="Q18" s="38" t="s">
        <v>871</v>
      </c>
    </row>
    <row r="19" spans="1:17">
      <c r="A19" s="63" t="str">
        <f t="shared" si="0"/>
        <v>Streetlight - MH 1000W - New</v>
      </c>
      <c r="B19" s="32" t="str">
        <f>MMap!F24</f>
        <v>Streetlight - MH 1000W - Tariff Relamp - to LED 421W - New</v>
      </c>
      <c r="C19" s="33">
        <f>MMap!G24*VLOOKUP(B19,MMap!$F$13:$AU$36,MATCH('M_Input (WT)(wo OM)'!$C$4,MMap!$F$12:$AU$12,0),FALSE)</f>
        <v>1459.85</v>
      </c>
      <c r="D19" s="63">
        <f>MMap!L24</f>
        <v>16.279069767441861</v>
      </c>
      <c r="E19" s="35">
        <f>MMap!H24*VLOOKUP(B19,MMap!$F$13:$AU$36,MATCH('M_Input (WT)(wo OM)'!$C$4,MMap!$F$12:$AU$12,0),FALSE)</f>
        <v>266.0347316388702</v>
      </c>
      <c r="F19" s="35"/>
      <c r="G19" s="36" t="s">
        <v>526</v>
      </c>
      <c r="I19" s="54"/>
      <c r="J19" s="34"/>
      <c r="Q19" s="38" t="s">
        <v>871</v>
      </c>
    </row>
    <row r="20" spans="1:17">
      <c r="A20" s="63" t="str">
        <f>LEFT(B20,22)&amp;" - NR"</f>
        <v>Streetlight - HPS 100W - NR</v>
      </c>
      <c r="B20" s="32" t="str">
        <f>MMap!F25</f>
        <v>Streetlight - HPS 100W - Group Relamp - to LED 42W - NR</v>
      </c>
      <c r="C20" s="33">
        <f>MMap!G25*VLOOKUP(B20,MMap!$F$13:$AU$36,MATCH('M_Input (WT)(wo OM)'!$C$4,MMap!$F$12:$AU$12,0),FALSE)</f>
        <v>84.924999999999983</v>
      </c>
      <c r="D20" s="63">
        <f>MMap!L25</f>
        <v>16.279069767441861</v>
      </c>
      <c r="E20" s="35">
        <f>MMap!H25*VLOOKUP(B20,MMap!$F$13:$AU$36,MATCH('M_Input (WT)(wo OM)'!$C$4,MMap!$F$12:$AU$12,0),FALSE)</f>
        <v>28.35202601226743</v>
      </c>
      <c r="F20" s="35"/>
      <c r="G20" s="36" t="s">
        <v>526</v>
      </c>
      <c r="I20" s="54"/>
      <c r="J20" s="34"/>
      <c r="Q20" s="38" t="s">
        <v>871</v>
      </c>
    </row>
    <row r="21" spans="1:17">
      <c r="A21" s="63" t="str">
        <f t="shared" ref="A21:A31" si="1">LEFT(B21,22)&amp;" - NR"</f>
        <v>Streetlight - HPS 100W - NR</v>
      </c>
      <c r="B21" s="32" t="str">
        <f>MMap!F26</f>
        <v>Streetlight - HPS 100W - Tariff Relamp - to LED 42W - NR</v>
      </c>
      <c r="C21" s="33">
        <f>MMap!G26*VLOOKUP(B21,MMap!$F$13:$AU$36,MATCH('M_Input (WT)(wo OM)'!$C$4,MMap!$F$12:$AU$12,0),FALSE)</f>
        <v>84.924999999999983</v>
      </c>
      <c r="D21" s="63">
        <f>MMap!L26</f>
        <v>16.279069767441861</v>
      </c>
      <c r="E21" s="35">
        <f>MMap!H26*VLOOKUP(B21,MMap!$F$13:$AU$36,MATCH('M_Input (WT)(wo OM)'!$C$4,MMap!$F$12:$AU$12,0),FALSE)</f>
        <v>28.35202601226743</v>
      </c>
      <c r="F21" s="35"/>
      <c r="G21" s="36" t="s">
        <v>526</v>
      </c>
      <c r="I21" s="54"/>
      <c r="J21" s="34"/>
      <c r="Q21" s="38" t="s">
        <v>871</v>
      </c>
    </row>
    <row r="22" spans="1:17">
      <c r="A22" s="63" t="str">
        <f t="shared" si="1"/>
        <v>Streetlight - HPS 100W - NR</v>
      </c>
      <c r="B22" s="32" t="str">
        <f>MMap!F27</f>
        <v>Streetlight - HPS 100W - Group Relamp - to LED 58W - NR</v>
      </c>
      <c r="C22" s="33">
        <f>MMap!G27*VLOOKUP(B22,MMap!$F$13:$AU$36,MATCH('M_Input (WT)(wo OM)'!$C$4,MMap!$F$12:$AU$12,0),FALSE)</f>
        <v>67.724999999999994</v>
      </c>
      <c r="D22" s="63">
        <f>MMap!L27</f>
        <v>16.279069767441861</v>
      </c>
      <c r="E22" s="35">
        <f>MMap!H27*VLOOKUP(B22,MMap!$F$13:$AU$36,MATCH('M_Input (WT)(wo OM)'!$C$4,MMap!$F$12:$AU$12,0),FALSE)</f>
        <v>28.35202601226743</v>
      </c>
      <c r="F22" s="35"/>
      <c r="G22" s="36" t="s">
        <v>526</v>
      </c>
      <c r="I22" s="54"/>
      <c r="J22" s="34"/>
      <c r="Q22" s="38" t="s">
        <v>871</v>
      </c>
    </row>
    <row r="23" spans="1:17">
      <c r="A23" s="63" t="str">
        <f t="shared" si="1"/>
        <v>Streetlight - HPS 100W - NR</v>
      </c>
      <c r="B23" s="32" t="str">
        <f>MMap!F28</f>
        <v>Streetlight - HPS 100W - Tariff Relamp - to LED 58W - NR</v>
      </c>
      <c r="C23" s="33">
        <f>MMap!G28*VLOOKUP(B23,MMap!$F$13:$AU$36,MATCH('M_Input (WT)(wo OM)'!$C$4,MMap!$F$12:$AU$12,0),FALSE)</f>
        <v>67.724999999999994</v>
      </c>
      <c r="D23" s="63">
        <f>MMap!L28</f>
        <v>16.279069767441861</v>
      </c>
      <c r="E23" s="35">
        <f>MMap!H28*VLOOKUP(B23,MMap!$F$13:$AU$36,MATCH('M_Input (WT)(wo OM)'!$C$4,MMap!$F$12:$AU$12,0),FALSE)</f>
        <v>28.35202601226743</v>
      </c>
      <c r="F23" s="35"/>
      <c r="G23" s="36" t="s">
        <v>526</v>
      </c>
      <c r="I23" s="54"/>
      <c r="J23" s="34"/>
      <c r="Q23" s="38" t="s">
        <v>871</v>
      </c>
    </row>
    <row r="24" spans="1:17">
      <c r="A24" s="63" t="str">
        <f t="shared" si="1"/>
        <v>Streetlight - MH 200W  - NR</v>
      </c>
      <c r="B24" s="32" t="str">
        <f>MMap!F29</f>
        <v>Streetlight - MH 200W - Group Relamp - to LED 135W - NR</v>
      </c>
      <c r="C24" s="33">
        <f>MMap!G29*VLOOKUP(B24,MMap!$F$13:$AU$36,MATCH('M_Input (WT)(wo OM)'!$C$4,MMap!$F$12:$AU$12,0),FALSE)</f>
        <v>204.25</v>
      </c>
      <c r="D24" s="63">
        <f>MMap!L29</f>
        <v>16.279069767441861</v>
      </c>
      <c r="E24" s="35">
        <f>MMap!H29*VLOOKUP(B24,MMap!$F$13:$AU$36,MATCH('M_Input (WT)(wo OM)'!$C$4,MMap!$F$12:$AU$12,0),FALSE)</f>
        <v>81.005788606478362</v>
      </c>
      <c r="F24" s="35"/>
      <c r="G24" s="36" t="s">
        <v>526</v>
      </c>
      <c r="I24" s="54"/>
      <c r="J24" s="34"/>
      <c r="Q24" s="38" t="s">
        <v>871</v>
      </c>
    </row>
    <row r="25" spans="1:17">
      <c r="A25" s="63" t="str">
        <f t="shared" si="1"/>
        <v>Streetlight - MH 200W  - NR</v>
      </c>
      <c r="B25" s="32" t="str">
        <f>MMap!F30</f>
        <v>Streetlight - MH 200W - Tariff Relamp - to LED 135W - NR</v>
      </c>
      <c r="C25" s="33">
        <f>MMap!G30*VLOOKUP(B25,MMap!$F$13:$AU$36,MATCH('M_Input (WT)(wo OM)'!$C$4,MMap!$F$12:$AU$12,0),FALSE)</f>
        <v>204.25</v>
      </c>
      <c r="D25" s="63">
        <f>MMap!L30</f>
        <v>16.279069767441861</v>
      </c>
      <c r="E25" s="35">
        <f>MMap!H30*VLOOKUP(B25,MMap!$F$13:$AU$36,MATCH('M_Input (WT)(wo OM)'!$C$4,MMap!$F$12:$AU$12,0),FALSE)</f>
        <v>81.005788606478362</v>
      </c>
      <c r="F25" s="35"/>
      <c r="G25" s="36" t="s">
        <v>526</v>
      </c>
      <c r="I25" s="54"/>
      <c r="J25" s="34"/>
      <c r="Q25" s="38" t="s">
        <v>871</v>
      </c>
    </row>
    <row r="26" spans="1:17">
      <c r="A26" s="63" t="str">
        <f t="shared" si="1"/>
        <v>Streetlight - HPS 250W - NR</v>
      </c>
      <c r="B26" s="32" t="str">
        <f>MMap!F31</f>
        <v>Streetlight - HPS 250W - Group Relamp - to LED 135W - NR</v>
      </c>
      <c r="C26" s="33">
        <f>MMap!G31*VLOOKUP(B26,MMap!$F$13:$AU$36,MATCH('M_Input (WT)(wo OM)'!$C$4,MMap!$F$12:$AU$12,0),FALSE)</f>
        <v>333.25</v>
      </c>
      <c r="D26" s="63">
        <f>MMap!L31</f>
        <v>16.279069767441861</v>
      </c>
      <c r="E26" s="35">
        <f>MMap!H31*VLOOKUP(B26,MMap!$F$13:$AU$36,MATCH('M_Input (WT)(wo OM)'!$C$4,MMap!$F$12:$AU$12,0),FALSE)</f>
        <v>81.005788606478362</v>
      </c>
      <c r="F26" s="35"/>
      <c r="G26" s="36" t="s">
        <v>526</v>
      </c>
      <c r="I26" s="54"/>
      <c r="J26" s="34"/>
      <c r="Q26" s="38" t="s">
        <v>871</v>
      </c>
    </row>
    <row r="27" spans="1:17">
      <c r="A27" s="63" t="str">
        <f t="shared" si="1"/>
        <v>Streetlight - HPS 250W - NR</v>
      </c>
      <c r="B27" s="32" t="str">
        <f>MMap!F32</f>
        <v>Streetlight - HPS 250W - Tariff Relamp - to LED 135W - NR</v>
      </c>
      <c r="C27" s="33">
        <f>MMap!G32*VLOOKUP(B27,MMap!$F$13:$AU$36,MATCH('M_Input (WT)(wo OM)'!$C$4,MMap!$F$12:$AU$12,0),FALSE)</f>
        <v>333.25</v>
      </c>
      <c r="D27" s="63">
        <f>MMap!L32</f>
        <v>16.279069767441861</v>
      </c>
      <c r="E27" s="35">
        <f>MMap!H32*VLOOKUP(B27,MMap!$F$13:$AU$36,MATCH('M_Input (WT)(wo OM)'!$C$4,MMap!$F$12:$AU$12,0),FALSE)</f>
        <v>81.005788606478362</v>
      </c>
      <c r="F27" s="35"/>
      <c r="G27" s="36" t="s">
        <v>526</v>
      </c>
      <c r="I27" s="54"/>
      <c r="J27" s="34"/>
      <c r="Q27" s="38" t="s">
        <v>871</v>
      </c>
    </row>
    <row r="28" spans="1:17">
      <c r="A28" s="63" t="str">
        <f t="shared" si="1"/>
        <v>Streetlight - MH 400W  - NR</v>
      </c>
      <c r="B28" s="32" t="str">
        <f>MMap!F33</f>
        <v>Streetlight - MH 400W - Group Relamp - to LED 180W - NR</v>
      </c>
      <c r="C28" s="33">
        <f>MMap!G33*VLOOKUP(B28,MMap!$F$13:$AU$36,MATCH('M_Input (WT)(wo OM)'!$C$4,MMap!$F$12:$AU$12,0),FALSE)</f>
        <v>597.70000000000005</v>
      </c>
      <c r="D28" s="63">
        <f>MMap!L33</f>
        <v>16.279069767441861</v>
      </c>
      <c r="E28" s="35">
        <f>MMap!H33*VLOOKUP(B28,MMap!$F$13:$AU$36,MATCH('M_Input (WT)(wo OM)'!$C$4,MMap!$F$12:$AU$12,0),FALSE)</f>
        <v>162.01157721295672</v>
      </c>
      <c r="F28" s="35"/>
      <c r="G28" s="36" t="s">
        <v>526</v>
      </c>
      <c r="I28" s="54"/>
      <c r="J28" s="34"/>
      <c r="Q28" s="38" t="s">
        <v>871</v>
      </c>
    </row>
    <row r="29" spans="1:17">
      <c r="A29" s="63" t="str">
        <f t="shared" si="1"/>
        <v>Streetlight - MH 400W  - NR</v>
      </c>
      <c r="B29" s="32" t="str">
        <f>MMap!F34</f>
        <v>Streetlight - MH 400W - Tariff Relamp - to LED 180W - NR</v>
      </c>
      <c r="C29" s="33">
        <f>MMap!G34*VLOOKUP(B29,MMap!$F$13:$AU$36,MATCH('M_Input (WT)(wo OM)'!$C$4,MMap!$F$12:$AU$12,0),FALSE)</f>
        <v>597.70000000000005</v>
      </c>
      <c r="D29" s="63">
        <f>MMap!L34</f>
        <v>16.279069767441861</v>
      </c>
      <c r="E29" s="35">
        <f>MMap!H34*VLOOKUP(B29,MMap!$F$13:$AU$36,MATCH('M_Input (WT)(wo OM)'!$C$4,MMap!$F$12:$AU$12,0),FALSE)</f>
        <v>162.01157721295672</v>
      </c>
      <c r="F29" s="35"/>
      <c r="G29" s="36" t="s">
        <v>526</v>
      </c>
      <c r="I29" s="54"/>
      <c r="J29" s="34"/>
      <c r="Q29" s="38" t="s">
        <v>871</v>
      </c>
    </row>
    <row r="30" spans="1:17">
      <c r="A30" s="63" t="str">
        <f t="shared" si="1"/>
        <v>Streetlight - MH 1000W - NR</v>
      </c>
      <c r="B30" s="32" t="str">
        <f>MMap!F35</f>
        <v>Streetlight - MH 1000W - Group Relamp - to LED 421W - NR</v>
      </c>
      <c r="C30" s="33">
        <f>MMap!G35*VLOOKUP(B30,MMap!$F$13:$AU$36,MATCH('M_Input (WT)(wo OM)'!$C$4,MMap!$F$12:$AU$12,0),FALSE)</f>
        <v>1459.85</v>
      </c>
      <c r="D30" s="63">
        <f>MMap!L35</f>
        <v>16.279069767441861</v>
      </c>
      <c r="E30" s="35">
        <f>MMap!H35*VLOOKUP(B30,MMap!$F$13:$AU$36,MATCH('M_Input (WT)(wo OM)'!$C$4,MMap!$F$12:$AU$12,0),FALSE)</f>
        <v>486.0347316388702</v>
      </c>
      <c r="F30" s="35"/>
      <c r="G30" s="36" t="s">
        <v>526</v>
      </c>
      <c r="I30" s="54"/>
      <c r="J30" s="34"/>
      <c r="Q30" s="38" t="s">
        <v>871</v>
      </c>
    </row>
    <row r="31" spans="1:17">
      <c r="A31" s="63" t="str">
        <f t="shared" si="1"/>
        <v>Streetlight - MH 1000W - NR</v>
      </c>
      <c r="B31" s="32" t="str">
        <f>MMap!F36</f>
        <v>Streetlight - MH 1000W - Tariff Relamp - to LED 421W - NR</v>
      </c>
      <c r="C31" s="33">
        <f>MMap!G36*VLOOKUP(B31,MMap!$F$13:$AU$36,MATCH('M_Input (WT)(wo OM)'!$C$4,MMap!$F$12:$AU$12,0),FALSE)</f>
        <v>1459.85</v>
      </c>
      <c r="D31" s="63">
        <f>MMap!L36</f>
        <v>16.279069767441861</v>
      </c>
      <c r="E31" s="35">
        <f>MMap!H36*VLOOKUP(B31,MMap!$F$13:$AU$36,MATCH('M_Input (WT)(wo OM)'!$C$4,MMap!$F$12:$AU$12,0),FALSE)</f>
        <v>486.0347316388702</v>
      </c>
      <c r="F31" s="35"/>
      <c r="G31" s="36" t="s">
        <v>526</v>
      </c>
      <c r="I31" s="54"/>
      <c r="J31" s="34"/>
      <c r="Q31" s="38" t="s">
        <v>871</v>
      </c>
    </row>
    <row r="34" spans="1:13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row>
    <row r="35" spans="1:131">
      <c r="A35" s="366" t="s">
        <v>535</v>
      </c>
      <c r="B35" s="367"/>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row>
    <row r="36" spans="1:131">
      <c r="A36" s="11" t="s">
        <v>536</v>
      </c>
      <c r="B36" s="11" t="s">
        <v>537</v>
      </c>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row>
    <row r="37" spans="1:131">
      <c r="A37" s="11" t="s">
        <v>538</v>
      </c>
      <c r="B37" s="11" t="s">
        <v>1008</v>
      </c>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row>
    <row r="38" spans="1:13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row>
    <row r="39" spans="1:131" ht="13.5" thickBot="1">
      <c r="A39" s="368" t="s">
        <v>539</v>
      </c>
      <c r="B39" s="369"/>
      <c r="C39" s="369"/>
      <c r="D39" s="369"/>
      <c r="E39" s="369"/>
      <c r="F39" s="369"/>
      <c r="G39" s="369"/>
      <c r="H39" s="369"/>
      <c r="I39" s="369"/>
      <c r="J39" s="369"/>
      <c r="K39" s="369"/>
      <c r="L39" s="369"/>
      <c r="M39" s="369"/>
      <c r="N39" s="369"/>
      <c r="O39" s="369"/>
      <c r="P39" s="369"/>
      <c r="Q39" s="369"/>
      <c r="R39" s="369"/>
      <c r="S39" s="369"/>
      <c r="T39" s="369"/>
      <c r="U39" s="369"/>
      <c r="V39" s="369"/>
      <c r="W39" s="369"/>
      <c r="X39" s="369"/>
      <c r="Y39" s="369"/>
      <c r="Z39" s="369"/>
      <c r="AA39" s="369"/>
      <c r="AB39" s="369"/>
      <c r="AC39" s="369"/>
      <c r="AD39" s="369"/>
      <c r="AE39" s="369"/>
      <c r="AF39" s="369"/>
      <c r="AG39" s="369"/>
      <c r="AH39" s="369"/>
      <c r="AI39" s="370"/>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row>
    <row r="40" spans="1:131">
      <c r="A40" s="11"/>
      <c r="B40" s="150" t="s">
        <v>540</v>
      </c>
      <c r="C40" s="151"/>
      <c r="D40" s="151" t="s">
        <v>540</v>
      </c>
      <c r="E40" s="152"/>
      <c r="F40" s="11"/>
      <c r="G40" s="150" t="s">
        <v>541</v>
      </c>
      <c r="H40" s="151"/>
      <c r="I40" s="151"/>
      <c r="J40" s="151"/>
      <c r="K40" s="151"/>
      <c r="L40" s="151"/>
      <c r="M40" s="151"/>
      <c r="N40" s="151"/>
      <c r="O40" s="152"/>
      <c r="P40" s="11"/>
      <c r="Q40" s="150" t="s">
        <v>542</v>
      </c>
      <c r="R40" s="151"/>
      <c r="S40" s="151"/>
      <c r="T40" s="151"/>
      <c r="U40" s="152"/>
      <c r="V40" s="11"/>
      <c r="W40" s="150" t="s">
        <v>543</v>
      </c>
      <c r="X40" s="152"/>
      <c r="Y40" s="11"/>
      <c r="Z40" s="150" t="s">
        <v>544</v>
      </c>
      <c r="AA40" s="151"/>
      <c r="AB40" s="152"/>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row>
    <row r="41" spans="1:131">
      <c r="A41" s="11"/>
      <c r="B41" s="148" t="s">
        <v>545</v>
      </c>
      <c r="C41" s="115" t="s">
        <v>546</v>
      </c>
      <c r="D41" s="115" t="s">
        <v>545</v>
      </c>
      <c r="E41" s="149" t="s">
        <v>546</v>
      </c>
      <c r="F41" s="11"/>
      <c r="G41" s="148" t="s">
        <v>547</v>
      </c>
      <c r="H41" s="115" t="s">
        <v>1002</v>
      </c>
      <c r="I41" s="115"/>
      <c r="J41" s="115"/>
      <c r="K41" s="115" t="s">
        <v>548</v>
      </c>
      <c r="L41" s="115"/>
      <c r="M41" s="115"/>
      <c r="N41" s="115"/>
      <c r="O41" s="149"/>
      <c r="P41" s="11"/>
      <c r="Q41" s="148"/>
      <c r="R41" s="115" t="s">
        <v>327</v>
      </c>
      <c r="S41" s="115" t="s">
        <v>549</v>
      </c>
      <c r="T41" s="115" t="s">
        <v>550</v>
      </c>
      <c r="U41" s="149" t="s">
        <v>551</v>
      </c>
      <c r="V41" s="11"/>
      <c r="W41" s="148" t="s">
        <v>552</v>
      </c>
      <c r="X41" s="149">
        <v>20</v>
      </c>
      <c r="Y41" s="11"/>
      <c r="Z41" s="148"/>
      <c r="AA41" s="115" t="s">
        <v>546</v>
      </c>
      <c r="AB41" s="149" t="s">
        <v>553</v>
      </c>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row>
    <row r="42" spans="1:131">
      <c r="A42" s="11"/>
      <c r="B42" s="148" t="s">
        <v>554</v>
      </c>
      <c r="C42" s="115" t="s">
        <v>555</v>
      </c>
      <c r="D42" s="115" t="s">
        <v>554</v>
      </c>
      <c r="E42" s="149" t="s">
        <v>555</v>
      </c>
      <c r="F42" s="11"/>
      <c r="G42" s="148" t="s">
        <v>556</v>
      </c>
      <c r="H42" s="115" t="s">
        <v>557</v>
      </c>
      <c r="I42" s="115"/>
      <c r="J42" s="115"/>
      <c r="K42" s="115" t="s">
        <v>558</v>
      </c>
      <c r="L42" s="115"/>
      <c r="M42" s="115"/>
      <c r="N42" s="115"/>
      <c r="O42" s="149"/>
      <c r="P42" s="11"/>
      <c r="Q42" s="148" t="s">
        <v>559</v>
      </c>
      <c r="R42" s="115">
        <v>6.8012888465852586E-2</v>
      </c>
      <c r="S42" s="115">
        <v>4.387844424080023E-2</v>
      </c>
      <c r="T42" s="115">
        <v>5.3289007766645871E-2</v>
      </c>
      <c r="U42" s="149">
        <v>5.447903102274565E-2</v>
      </c>
      <c r="V42" s="11"/>
      <c r="W42" s="148" t="s">
        <v>560</v>
      </c>
      <c r="X42" s="149">
        <v>2016</v>
      </c>
      <c r="Y42" s="11"/>
      <c r="Z42" s="148" t="s">
        <v>561</v>
      </c>
      <c r="AA42" s="115">
        <v>0.03</v>
      </c>
      <c r="AB42" s="149">
        <v>0.01</v>
      </c>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row>
    <row r="43" spans="1:131">
      <c r="A43" s="11"/>
      <c r="B43" s="148" t="s">
        <v>562</v>
      </c>
      <c r="C43" s="115" t="s">
        <v>563</v>
      </c>
      <c r="D43" s="115" t="s">
        <v>562</v>
      </c>
      <c r="E43" s="149" t="s">
        <v>563</v>
      </c>
      <c r="F43" s="11"/>
      <c r="G43" s="148" t="s">
        <v>564</v>
      </c>
      <c r="H43" s="115" t="s">
        <v>565</v>
      </c>
      <c r="I43" s="115"/>
      <c r="J43" s="115"/>
      <c r="K43" s="115" t="s">
        <v>566</v>
      </c>
      <c r="L43" s="115"/>
      <c r="M43" s="115"/>
      <c r="N43" s="115"/>
      <c r="O43" s="149"/>
      <c r="P43" s="11"/>
      <c r="Q43" s="148" t="s">
        <v>567</v>
      </c>
      <c r="R43" s="115">
        <v>12</v>
      </c>
      <c r="S43" s="115">
        <v>12</v>
      </c>
      <c r="T43" s="115">
        <v>1</v>
      </c>
      <c r="U43" s="149">
        <v>1</v>
      </c>
      <c r="V43" s="11"/>
      <c r="W43" s="148" t="s">
        <v>568</v>
      </c>
      <c r="X43" s="149">
        <v>2016</v>
      </c>
      <c r="Y43" s="11"/>
      <c r="Z43" s="148" t="s">
        <v>569</v>
      </c>
      <c r="AA43" s="115">
        <v>26</v>
      </c>
      <c r="AB43" s="149">
        <v>0</v>
      </c>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row>
    <row r="44" spans="1:131" ht="13.5" thickBot="1">
      <c r="A44" s="11"/>
      <c r="B44" s="163" t="s">
        <v>570</v>
      </c>
      <c r="C44" s="371" t="s">
        <v>563</v>
      </c>
      <c r="D44" s="371" t="s">
        <v>570</v>
      </c>
      <c r="E44" s="372" t="s">
        <v>563</v>
      </c>
      <c r="F44" s="11"/>
      <c r="G44" s="148" t="s">
        <v>571</v>
      </c>
      <c r="H44" s="115" t="s">
        <v>572</v>
      </c>
      <c r="I44" s="115"/>
      <c r="J44" s="115"/>
      <c r="K44" s="115" t="s">
        <v>558</v>
      </c>
      <c r="L44" s="115"/>
      <c r="M44" s="115"/>
      <c r="N44" s="115"/>
      <c r="O44" s="149"/>
      <c r="P44" s="11"/>
      <c r="Q44" s="148"/>
      <c r="R44" s="115" t="s">
        <v>327</v>
      </c>
      <c r="S44" s="115" t="s">
        <v>549</v>
      </c>
      <c r="T44" s="115" t="s">
        <v>550</v>
      </c>
      <c r="U44" s="149" t="s">
        <v>551</v>
      </c>
      <c r="V44" s="11"/>
      <c r="W44" s="148" t="s">
        <v>573</v>
      </c>
      <c r="X44" s="149">
        <v>2012</v>
      </c>
      <c r="Y44" s="11"/>
      <c r="Z44" s="148" t="s">
        <v>574</v>
      </c>
      <c r="AA44" s="115">
        <v>0.9</v>
      </c>
      <c r="AB44" s="149" t="s">
        <v>575</v>
      </c>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row>
    <row r="45" spans="1:131">
      <c r="A45" s="11"/>
      <c r="B45" s="11"/>
      <c r="C45" s="11"/>
      <c r="D45" s="11"/>
      <c r="E45" s="11"/>
      <c r="F45" s="11"/>
      <c r="G45" s="148" t="s">
        <v>576</v>
      </c>
      <c r="H45" s="115" t="s">
        <v>565</v>
      </c>
      <c r="I45" s="115"/>
      <c r="J45" s="115"/>
      <c r="K45" s="115"/>
      <c r="L45" s="115"/>
      <c r="M45" s="115"/>
      <c r="N45" s="115"/>
      <c r="O45" s="149"/>
      <c r="P45" s="11"/>
      <c r="Q45" s="148" t="s">
        <v>577</v>
      </c>
      <c r="R45" s="115">
        <v>0.35</v>
      </c>
      <c r="S45" s="115">
        <v>0.19500000000000001</v>
      </c>
      <c r="T45" s="115">
        <v>4.8749999999999988E-2</v>
      </c>
      <c r="U45" s="149">
        <v>0.40625</v>
      </c>
      <c r="V45" s="11"/>
      <c r="W45" s="148" t="s">
        <v>578</v>
      </c>
      <c r="X45" s="149">
        <v>0.04</v>
      </c>
      <c r="Y45" s="11"/>
      <c r="Z45" s="148" t="s">
        <v>579</v>
      </c>
      <c r="AA45" s="115">
        <v>5.5E-2</v>
      </c>
      <c r="AB45" s="149">
        <v>0</v>
      </c>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row>
    <row r="46" spans="1:131">
      <c r="A46" s="11"/>
      <c r="B46" s="11" t="s">
        <v>580</v>
      </c>
      <c r="C46" s="11" t="s">
        <v>546</v>
      </c>
      <c r="D46" s="11"/>
      <c r="E46" s="11"/>
      <c r="F46" s="11"/>
      <c r="G46" s="148" t="s">
        <v>581</v>
      </c>
      <c r="H46" s="115" t="s">
        <v>582</v>
      </c>
      <c r="I46" s="115"/>
      <c r="J46" s="115"/>
      <c r="K46" s="115" t="s">
        <v>583</v>
      </c>
      <c r="L46" s="115"/>
      <c r="M46" s="115"/>
      <c r="N46" s="115"/>
      <c r="O46" s="149"/>
      <c r="P46" s="11"/>
      <c r="Q46" s="148" t="s">
        <v>584</v>
      </c>
      <c r="R46" s="115">
        <v>1</v>
      </c>
      <c r="S46" s="115">
        <v>0</v>
      </c>
      <c r="T46" s="115">
        <v>0</v>
      </c>
      <c r="U46" s="149">
        <v>0</v>
      </c>
      <c r="V46" s="11"/>
      <c r="W46" s="148" t="s">
        <v>585</v>
      </c>
      <c r="X46" s="149">
        <v>0</v>
      </c>
      <c r="Y46" s="11"/>
      <c r="Z46" s="148" t="s">
        <v>586</v>
      </c>
      <c r="AA46" s="115">
        <v>31</v>
      </c>
      <c r="AB46" s="149">
        <v>0</v>
      </c>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row>
    <row r="47" spans="1:131">
      <c r="A47" s="11"/>
      <c r="B47" s="11" t="s">
        <v>587</v>
      </c>
      <c r="C47" s="11" t="s">
        <v>588</v>
      </c>
      <c r="D47" s="11"/>
      <c r="E47" s="11"/>
      <c r="F47" s="11"/>
      <c r="G47" s="148" t="s">
        <v>589</v>
      </c>
      <c r="H47" s="115" t="s">
        <v>583</v>
      </c>
      <c r="I47" s="115"/>
      <c r="J47" s="115"/>
      <c r="K47" s="115" t="s">
        <v>590</v>
      </c>
      <c r="L47" s="115"/>
      <c r="M47" s="115"/>
      <c r="N47" s="115"/>
      <c r="O47" s="149"/>
      <c r="P47" s="11"/>
      <c r="Q47" s="148" t="s">
        <v>591</v>
      </c>
      <c r="R47" s="115">
        <v>1</v>
      </c>
      <c r="S47" s="115">
        <v>0</v>
      </c>
      <c r="T47" s="115">
        <v>0</v>
      </c>
      <c r="U47" s="149">
        <v>0</v>
      </c>
      <c r="V47" s="11"/>
      <c r="W47" s="148" t="s">
        <v>592</v>
      </c>
      <c r="X47" s="149">
        <v>0.2</v>
      </c>
      <c r="Y47" s="11"/>
      <c r="Z47" s="148" t="s">
        <v>593</v>
      </c>
      <c r="AA47" s="115">
        <v>0.7</v>
      </c>
      <c r="AB47" s="149" t="s">
        <v>575</v>
      </c>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row>
    <row r="48" spans="1:131">
      <c r="A48" s="11"/>
      <c r="B48" s="11" t="s">
        <v>594</v>
      </c>
      <c r="C48" s="11" t="s">
        <v>595</v>
      </c>
      <c r="D48" s="11"/>
      <c r="E48" s="11"/>
      <c r="F48" s="11"/>
      <c r="G48" s="148" t="s">
        <v>596</v>
      </c>
      <c r="H48" s="115" t="s">
        <v>590</v>
      </c>
      <c r="I48" s="115"/>
      <c r="J48" s="115"/>
      <c r="K48" s="115" t="s">
        <v>597</v>
      </c>
      <c r="L48" s="115"/>
      <c r="M48" s="115"/>
      <c r="N48" s="115"/>
      <c r="O48" s="149"/>
      <c r="P48" s="11"/>
      <c r="Q48" s="148" t="s">
        <v>598</v>
      </c>
      <c r="R48" s="115"/>
      <c r="S48" s="115">
        <v>0.3</v>
      </c>
      <c r="T48" s="115">
        <v>7.4999999999999983E-2</v>
      </c>
      <c r="U48" s="149">
        <v>0.625</v>
      </c>
      <c r="V48" s="11"/>
      <c r="W48" s="148" t="s">
        <v>599</v>
      </c>
      <c r="X48" s="149">
        <v>0.1</v>
      </c>
      <c r="Y48" s="11"/>
      <c r="Z48" s="148" t="s">
        <v>600</v>
      </c>
      <c r="AA48" s="115">
        <v>0</v>
      </c>
      <c r="AB48" s="149">
        <v>0</v>
      </c>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row>
    <row r="49" spans="1:131" ht="13.5" thickBot="1">
      <c r="A49" s="11"/>
      <c r="B49" s="11" t="s">
        <v>601</v>
      </c>
      <c r="C49" s="11" t="s">
        <v>602</v>
      </c>
      <c r="D49" s="11"/>
      <c r="E49" s="11"/>
      <c r="F49" s="11"/>
      <c r="G49" s="163" t="s">
        <v>603</v>
      </c>
      <c r="H49" s="371" t="s">
        <v>597</v>
      </c>
      <c r="I49" s="371"/>
      <c r="J49" s="371"/>
      <c r="K49" s="371"/>
      <c r="L49" s="371"/>
      <c r="M49" s="371"/>
      <c r="N49" s="371"/>
      <c r="O49" s="372"/>
      <c r="P49" s="11"/>
      <c r="Q49" s="163" t="s">
        <v>604</v>
      </c>
      <c r="R49" s="371"/>
      <c r="S49" s="371">
        <v>20</v>
      </c>
      <c r="T49" s="371"/>
      <c r="U49" s="372"/>
      <c r="V49" s="11"/>
      <c r="W49" s="163" t="s">
        <v>605</v>
      </c>
      <c r="X49" s="372">
        <v>2018</v>
      </c>
      <c r="Y49" s="11"/>
      <c r="Z49" s="163" t="s">
        <v>606</v>
      </c>
      <c r="AA49" s="371">
        <v>0</v>
      </c>
      <c r="AB49" s="372">
        <v>0</v>
      </c>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row>
    <row r="50" spans="1:13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row>
    <row r="51" spans="1:13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row>
    <row r="52" spans="1:13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row>
    <row r="53" spans="1:13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row>
    <row r="54" spans="1:13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row>
    <row r="55" spans="1:13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row>
    <row r="56" spans="1:13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row>
    <row r="57" spans="1:131" ht="13.5" thickBot="1">
      <c r="A57" s="368" t="s">
        <v>607</v>
      </c>
      <c r="B57" s="370"/>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row>
    <row r="58" spans="1:131" ht="26.25" thickBot="1">
      <c r="A58" s="373" t="s">
        <v>291</v>
      </c>
      <c r="B58" s="374"/>
      <c r="C58" s="375" t="s">
        <v>292</v>
      </c>
      <c r="D58" s="376"/>
      <c r="E58" s="376"/>
      <c r="F58" s="376"/>
      <c r="G58" s="376"/>
      <c r="H58" s="376"/>
      <c r="I58" s="376"/>
      <c r="J58" s="376"/>
      <c r="K58" s="377"/>
      <c r="L58" s="375" t="s">
        <v>102</v>
      </c>
      <c r="M58" s="376"/>
      <c r="N58" s="376"/>
      <c r="O58" s="376"/>
      <c r="P58" s="376"/>
      <c r="Q58" s="377"/>
      <c r="R58" s="375" t="s">
        <v>293</v>
      </c>
      <c r="S58" s="376"/>
      <c r="T58" s="376"/>
      <c r="U58" s="377"/>
      <c r="V58" s="375" t="s">
        <v>294</v>
      </c>
      <c r="W58" s="376"/>
      <c r="X58" s="376"/>
      <c r="Y58" s="377"/>
      <c r="Z58" s="375" t="s">
        <v>295</v>
      </c>
      <c r="AA58" s="376"/>
      <c r="AB58" s="376"/>
      <c r="AC58" s="377"/>
      <c r="AD58" s="375" t="s">
        <v>296</v>
      </c>
      <c r="AE58" s="376"/>
      <c r="AF58" s="376"/>
      <c r="AG58" s="377"/>
      <c r="AH58" s="375" t="s">
        <v>297</v>
      </c>
      <c r="AI58" s="376"/>
      <c r="AJ58" s="376"/>
      <c r="AK58" s="376"/>
      <c r="AL58" s="377"/>
      <c r="AM58" s="375" t="s">
        <v>298</v>
      </c>
      <c r="AN58" s="376"/>
      <c r="AO58" s="376"/>
      <c r="AP58" s="376"/>
      <c r="AQ58" s="376"/>
      <c r="AR58" s="376"/>
      <c r="AS58" s="377"/>
      <c r="AT58" s="375" t="s">
        <v>299</v>
      </c>
      <c r="AU58" s="376"/>
      <c r="AV58" s="376"/>
      <c r="AW58" s="376"/>
      <c r="AX58" s="376"/>
      <c r="AY58" s="376"/>
      <c r="AZ58" s="377"/>
      <c r="BA58" s="375" t="s">
        <v>300</v>
      </c>
      <c r="BB58" s="376"/>
      <c r="BC58" s="376"/>
      <c r="BD58" s="376"/>
      <c r="BE58" s="376"/>
      <c r="BF58" s="377"/>
      <c r="BG58" s="375" t="s">
        <v>301</v>
      </c>
      <c r="BH58" s="377"/>
      <c r="BI58" s="375" t="s">
        <v>302</v>
      </c>
      <c r="BJ58" s="376"/>
      <c r="BK58" s="376"/>
      <c r="BL58" s="376"/>
      <c r="BM58" s="377"/>
      <c r="BN58" s="375" t="s">
        <v>303</v>
      </c>
      <c r="BO58" s="376"/>
      <c r="BP58" s="376"/>
      <c r="BQ58" s="376"/>
      <c r="BR58" s="376"/>
      <c r="BS58" s="376"/>
      <c r="BT58" s="376"/>
      <c r="BU58" s="376"/>
      <c r="BV58" s="376"/>
      <c r="BW58" s="376"/>
      <c r="BX58" s="376"/>
      <c r="BY58" s="376"/>
      <c r="BZ58" s="376"/>
      <c r="CA58" s="376"/>
      <c r="CB58" s="376"/>
      <c r="CC58" s="377"/>
      <c r="CD58" s="375" t="s">
        <v>304</v>
      </c>
      <c r="CE58" s="377"/>
      <c r="CF58" s="375" t="s">
        <v>305</v>
      </c>
      <c r="CG58" s="376"/>
      <c r="CH58" s="376"/>
      <c r="CI58" s="376"/>
      <c r="CJ58" s="376"/>
      <c r="CK58" s="377"/>
      <c r="CL58" s="378"/>
      <c r="CM58" s="375" t="s">
        <v>15</v>
      </c>
      <c r="CN58" s="376"/>
      <c r="CO58" s="376"/>
      <c r="CP58" s="377"/>
      <c r="CQ58" s="375" t="s">
        <v>306</v>
      </c>
      <c r="CR58" s="376"/>
      <c r="CS58" s="376"/>
      <c r="CT58" s="376"/>
      <c r="CU58" s="377"/>
      <c r="CV58" s="375" t="s">
        <v>307</v>
      </c>
      <c r="CW58" s="377"/>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row>
    <row r="59" spans="1:131" ht="127.5">
      <c r="A59" s="379" t="s">
        <v>308</v>
      </c>
      <c r="B59" s="380" t="s">
        <v>309</v>
      </c>
      <c r="C59" s="381" t="s">
        <v>8</v>
      </c>
      <c r="D59" s="381" t="s">
        <v>310</v>
      </c>
      <c r="E59" s="381" t="s">
        <v>311</v>
      </c>
      <c r="F59" s="381" t="s">
        <v>312</v>
      </c>
      <c r="G59" s="381" t="s">
        <v>313</v>
      </c>
      <c r="H59" s="381" t="s">
        <v>314</v>
      </c>
      <c r="I59" s="381" t="s">
        <v>315</v>
      </c>
      <c r="J59" s="381" t="s">
        <v>316</v>
      </c>
      <c r="K59" s="381" t="s">
        <v>317</v>
      </c>
      <c r="L59" s="381" t="s">
        <v>318</v>
      </c>
      <c r="M59" s="381" t="s">
        <v>319</v>
      </c>
      <c r="N59" s="381" t="s">
        <v>320</v>
      </c>
      <c r="O59" s="381" t="s">
        <v>321</v>
      </c>
      <c r="P59" s="381" t="s">
        <v>322</v>
      </c>
      <c r="Q59" s="381" t="s">
        <v>323</v>
      </c>
      <c r="R59" s="381" t="s">
        <v>324</v>
      </c>
      <c r="S59" s="381" t="s">
        <v>325</v>
      </c>
      <c r="T59" s="381" t="s">
        <v>326</v>
      </c>
      <c r="U59" s="381" t="s">
        <v>327</v>
      </c>
      <c r="V59" s="381" t="s">
        <v>324</v>
      </c>
      <c r="W59" s="381" t="s">
        <v>325</v>
      </c>
      <c r="X59" s="381" t="s">
        <v>326</v>
      </c>
      <c r="Y59" s="381" t="s">
        <v>327</v>
      </c>
      <c r="Z59" s="381" t="s">
        <v>324</v>
      </c>
      <c r="AA59" s="381" t="s">
        <v>325</v>
      </c>
      <c r="AB59" s="381" t="s">
        <v>326</v>
      </c>
      <c r="AC59" s="381" t="s">
        <v>327</v>
      </c>
      <c r="AD59" s="381" t="s">
        <v>324</v>
      </c>
      <c r="AE59" s="381" t="s">
        <v>325</v>
      </c>
      <c r="AF59" s="381" t="s">
        <v>326</v>
      </c>
      <c r="AG59" s="381" t="s">
        <v>327</v>
      </c>
      <c r="AH59" s="381" t="s">
        <v>324</v>
      </c>
      <c r="AI59" s="381" t="s">
        <v>325</v>
      </c>
      <c r="AJ59" s="381" t="s">
        <v>326</v>
      </c>
      <c r="AK59" s="381" t="s">
        <v>327</v>
      </c>
      <c r="AL59" s="381" t="s">
        <v>156</v>
      </c>
      <c r="AM59" s="381" t="s">
        <v>328</v>
      </c>
      <c r="AN59" s="381" t="s">
        <v>329</v>
      </c>
      <c r="AO59" s="381" t="s">
        <v>330</v>
      </c>
      <c r="AP59" s="381" t="s">
        <v>331</v>
      </c>
      <c r="AQ59" s="381" t="s">
        <v>332</v>
      </c>
      <c r="AR59" s="381" t="s">
        <v>333</v>
      </c>
      <c r="AS59" s="381" t="s">
        <v>334</v>
      </c>
      <c r="AT59" s="381" t="s">
        <v>335</v>
      </c>
      <c r="AU59" s="381" t="s">
        <v>336</v>
      </c>
      <c r="AV59" s="381" t="s">
        <v>337</v>
      </c>
      <c r="AW59" s="381" t="s">
        <v>338</v>
      </c>
      <c r="AX59" s="381" t="s">
        <v>339</v>
      </c>
      <c r="AY59" s="381" t="s">
        <v>340</v>
      </c>
      <c r="AZ59" s="381" t="s">
        <v>341</v>
      </c>
      <c r="BA59" s="381" t="s">
        <v>342</v>
      </c>
      <c r="BB59" s="381" t="s">
        <v>343</v>
      </c>
      <c r="BC59" s="381" t="s">
        <v>344</v>
      </c>
      <c r="BD59" s="381" t="s">
        <v>345</v>
      </c>
      <c r="BE59" s="381" t="s">
        <v>346</v>
      </c>
      <c r="BF59" s="381" t="s">
        <v>347</v>
      </c>
      <c r="BG59" s="381" t="s">
        <v>348</v>
      </c>
      <c r="BH59" s="381" t="s">
        <v>349</v>
      </c>
      <c r="BI59" s="381" t="s">
        <v>350</v>
      </c>
      <c r="BJ59" s="381" t="s">
        <v>351</v>
      </c>
      <c r="BK59" s="381" t="s">
        <v>352</v>
      </c>
      <c r="BL59" s="381" t="s">
        <v>353</v>
      </c>
      <c r="BM59" s="381" t="s">
        <v>354</v>
      </c>
      <c r="BN59" s="381" t="s">
        <v>355</v>
      </c>
      <c r="BO59" s="381" t="s">
        <v>356</v>
      </c>
      <c r="BP59" s="381" t="s">
        <v>357</v>
      </c>
      <c r="BQ59" s="381" t="s">
        <v>358</v>
      </c>
      <c r="BR59" s="381" t="s">
        <v>359</v>
      </c>
      <c r="BS59" s="381" t="s">
        <v>360</v>
      </c>
      <c r="BT59" s="381" t="s">
        <v>361</v>
      </c>
      <c r="BU59" s="381" t="s">
        <v>362</v>
      </c>
      <c r="BV59" s="381" t="s">
        <v>363</v>
      </c>
      <c r="BW59" s="381" t="s">
        <v>364</v>
      </c>
      <c r="BX59" s="381" t="s">
        <v>365</v>
      </c>
      <c r="BY59" s="381" t="s">
        <v>366</v>
      </c>
      <c r="BZ59" s="381" t="s">
        <v>367</v>
      </c>
      <c r="CA59" s="381" t="s">
        <v>368</v>
      </c>
      <c r="CB59" s="381" t="s">
        <v>369</v>
      </c>
      <c r="CC59" s="381" t="s">
        <v>370</v>
      </c>
      <c r="CD59" s="381" t="s">
        <v>371</v>
      </c>
      <c r="CE59" s="381" t="s">
        <v>372</v>
      </c>
      <c r="CF59" s="381" t="s">
        <v>373</v>
      </c>
      <c r="CG59" s="381" t="s">
        <v>374</v>
      </c>
      <c r="CH59" s="381" t="s">
        <v>375</v>
      </c>
      <c r="CI59" s="381" t="s">
        <v>608</v>
      </c>
      <c r="CJ59" s="381" t="s">
        <v>609</v>
      </c>
      <c r="CK59" s="381" t="s">
        <v>610</v>
      </c>
      <c r="CL59" s="381"/>
      <c r="CM59" s="381" t="s">
        <v>376</v>
      </c>
      <c r="CN59" s="381" t="s">
        <v>377</v>
      </c>
      <c r="CO59" s="381" t="s">
        <v>378</v>
      </c>
      <c r="CP59" s="381" t="s">
        <v>379</v>
      </c>
      <c r="CQ59" s="381" t="s">
        <v>380</v>
      </c>
      <c r="CR59" s="381" t="s">
        <v>381</v>
      </c>
      <c r="CS59" s="381" t="s">
        <v>382</v>
      </c>
      <c r="CT59" s="381" t="s">
        <v>383</v>
      </c>
      <c r="CU59" s="381" t="s">
        <v>384</v>
      </c>
      <c r="CV59" s="381" t="s">
        <v>385</v>
      </c>
      <c r="CW59" s="382" t="s">
        <v>386</v>
      </c>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row>
    <row r="60" spans="1:131">
      <c r="A60" s="11" t="s">
        <v>664</v>
      </c>
      <c r="B60" s="11" t="s">
        <v>527</v>
      </c>
      <c r="C60" s="32">
        <v>16.279069767441861</v>
      </c>
      <c r="D60" s="32">
        <v>84.924999999999983</v>
      </c>
      <c r="E60" s="32">
        <v>0</v>
      </c>
      <c r="F60" s="32">
        <v>-2.1479739877325699</v>
      </c>
      <c r="G60" s="32">
        <v>0</v>
      </c>
      <c r="H60" s="32">
        <v>0</v>
      </c>
      <c r="I60" s="32" t="s">
        <v>526</v>
      </c>
      <c r="J60" s="32"/>
      <c r="K60" s="32"/>
      <c r="L60" s="32">
        <v>96.087446841016259</v>
      </c>
      <c r="M60" s="32">
        <v>2.2459763698484694E-2</v>
      </c>
      <c r="N60" s="32">
        <v>2.130907371772741E-2</v>
      </c>
      <c r="O60" s="32">
        <v>0</v>
      </c>
      <c r="P60" s="32">
        <v>0</v>
      </c>
      <c r="Q60" s="32">
        <v>0</v>
      </c>
      <c r="R60" s="32">
        <v>-0.4283347068690555</v>
      </c>
      <c r="S60" s="32">
        <v>-0.10605175266784705</v>
      </c>
      <c r="T60" s="32">
        <v>-0.88476309736183789</v>
      </c>
      <c r="U60" s="32">
        <v>-1.2605324003115399</v>
      </c>
      <c r="V60" s="32" t="s">
        <v>611</v>
      </c>
      <c r="W60" s="32" t="s">
        <v>611</v>
      </c>
      <c r="X60" s="32" t="s">
        <v>611</v>
      </c>
      <c r="Y60" s="32" t="s">
        <v>611</v>
      </c>
      <c r="Z60" s="32">
        <v>0</v>
      </c>
      <c r="AA60" s="32">
        <v>0</v>
      </c>
      <c r="AB60" s="32">
        <v>0</v>
      </c>
      <c r="AC60" s="32">
        <v>0</v>
      </c>
      <c r="AD60" s="32">
        <v>0</v>
      </c>
      <c r="AE60" s="32">
        <v>0</v>
      </c>
      <c r="AF60" s="32">
        <v>0</v>
      </c>
      <c r="AG60" s="32">
        <v>0</v>
      </c>
      <c r="AH60" s="32">
        <v>-0.4283347068690555</v>
      </c>
      <c r="AI60" s="32">
        <v>-0.10605175266784705</v>
      </c>
      <c r="AJ60" s="32">
        <v>-0.88476309736183789</v>
      </c>
      <c r="AK60" s="32">
        <v>-1.2605324003115399</v>
      </c>
      <c r="AL60" s="32">
        <v>-2.6796819572102804</v>
      </c>
      <c r="AM60" s="32">
        <v>46.085676927482965</v>
      </c>
      <c r="AN60" s="32">
        <v>7.9361234756248979</v>
      </c>
      <c r="AO60" s="32">
        <v>5.4021800403107862</v>
      </c>
      <c r="AP60" s="32">
        <v>0</v>
      </c>
      <c r="AQ60" s="32">
        <v>59.42398044341865</v>
      </c>
      <c r="AR60" s="32">
        <v>-0.4283347068690555</v>
      </c>
      <c r="AS60" s="383">
        <v>9999</v>
      </c>
      <c r="AT60" s="32">
        <v>46.085676927482965</v>
      </c>
      <c r="AU60" s="32">
        <v>8.9775152439195693</v>
      </c>
      <c r="AV60" s="32">
        <v>5.5063192171402537</v>
      </c>
      <c r="AW60" s="32">
        <v>0</v>
      </c>
      <c r="AX60" s="32">
        <v>60.569511388542786</v>
      </c>
      <c r="AY60" s="32">
        <v>-0.10605175266784705</v>
      </c>
      <c r="AZ60" s="383">
        <v>9999</v>
      </c>
      <c r="BA60" s="32">
        <v>46.085676927482965</v>
      </c>
      <c r="BB60" s="32">
        <v>16.913638719544466</v>
      </c>
      <c r="BC60" s="32">
        <v>6.2999315647027432</v>
      </c>
      <c r="BD60" s="32">
        <v>0</v>
      </c>
      <c r="BE60" s="32">
        <v>69.299247211730176</v>
      </c>
      <c r="BF60" s="32">
        <v>-0.53438645953690256</v>
      </c>
      <c r="BG60" s="32">
        <v>-18.185686906921656</v>
      </c>
      <c r="BH60" s="383">
        <v>9999</v>
      </c>
      <c r="BI60" s="32">
        <v>-0.32800972961716296</v>
      </c>
      <c r="BJ60" s="32">
        <v>-8.1212206622894662E-2</v>
      </c>
      <c r="BK60" s="32">
        <v>-0.67753301258779219</v>
      </c>
      <c r="BL60" s="32">
        <v>-0.9652892590052502</v>
      </c>
      <c r="BM60" s="32">
        <v>-2.0520442078331</v>
      </c>
      <c r="BN60" s="32">
        <v>46.085676927482965</v>
      </c>
      <c r="BO60" s="32">
        <v>0</v>
      </c>
      <c r="BP60" s="32">
        <v>16.913638719544466</v>
      </c>
      <c r="BQ60" s="32">
        <v>0</v>
      </c>
      <c r="BR60" s="32">
        <v>0</v>
      </c>
      <c r="BS60" s="32">
        <v>0</v>
      </c>
      <c r="BT60" s="32">
        <v>0</v>
      </c>
      <c r="BU60" s="32">
        <v>0</v>
      </c>
      <c r="BV60" s="32">
        <v>0</v>
      </c>
      <c r="BW60" s="32">
        <v>6.2999315647027432</v>
      </c>
      <c r="BX60" s="32">
        <v>-2.6796819572102804</v>
      </c>
      <c r="BY60" s="32"/>
      <c r="BZ60" s="32">
        <v>0</v>
      </c>
      <c r="CA60" s="32">
        <v>0</v>
      </c>
      <c r="CB60" s="32">
        <v>69.299247211730176</v>
      </c>
      <c r="CC60" s="32">
        <v>-2.6796819572102804</v>
      </c>
      <c r="CD60" s="383">
        <v>9999</v>
      </c>
      <c r="CE60" s="32">
        <v>-19.828509178514697</v>
      </c>
      <c r="CF60" s="32">
        <v>0.91283496984754209</v>
      </c>
      <c r="CG60" s="32">
        <v>0</v>
      </c>
      <c r="CH60" s="32">
        <v>0.91283496984754209</v>
      </c>
      <c r="CI60" s="32">
        <v>4.5641537249482722E-2</v>
      </c>
      <c r="CJ60" s="32">
        <v>0</v>
      </c>
      <c r="CK60" s="32">
        <v>4.5641537249482722E-2</v>
      </c>
      <c r="CL60" s="32"/>
      <c r="CM60" s="32">
        <v>0</v>
      </c>
      <c r="CN60" s="32"/>
      <c r="CO60" s="32">
        <v>0</v>
      </c>
      <c r="CP60" s="32">
        <v>0</v>
      </c>
      <c r="CQ60" s="32">
        <v>0</v>
      </c>
      <c r="CR60" s="32">
        <v>0</v>
      </c>
      <c r="CS60" s="32">
        <v>0</v>
      </c>
      <c r="CT60" s="32">
        <v>0</v>
      </c>
      <c r="CU60" s="32">
        <v>-0.88476309736183789</v>
      </c>
      <c r="CV60" s="32">
        <v>9999</v>
      </c>
      <c r="CW60" s="383">
        <v>9999</v>
      </c>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row>
    <row r="61" spans="1:131">
      <c r="A61" s="11" t="s">
        <v>664</v>
      </c>
      <c r="B61" s="11" t="s">
        <v>528</v>
      </c>
      <c r="C61" s="32">
        <v>16.279069767441861</v>
      </c>
      <c r="D61" s="32">
        <v>84.924999999999983</v>
      </c>
      <c r="E61" s="32">
        <v>0</v>
      </c>
      <c r="F61" s="32">
        <v>-2.1479739877325699</v>
      </c>
      <c r="G61" s="32">
        <v>0</v>
      </c>
      <c r="H61" s="32">
        <v>0</v>
      </c>
      <c r="I61" s="32" t="s">
        <v>526</v>
      </c>
      <c r="J61" s="32"/>
      <c r="K61" s="32"/>
      <c r="L61" s="32">
        <v>96.087446841016259</v>
      </c>
      <c r="M61" s="32">
        <v>2.2459763698484694E-2</v>
      </c>
      <c r="N61" s="32">
        <v>2.130907371772741E-2</v>
      </c>
      <c r="O61" s="32">
        <v>0</v>
      </c>
      <c r="P61" s="32">
        <v>0</v>
      </c>
      <c r="Q61" s="32">
        <v>0</v>
      </c>
      <c r="R61" s="32">
        <v>-0.4283347068690555</v>
      </c>
      <c r="S61" s="32">
        <v>-0.10605175266784705</v>
      </c>
      <c r="T61" s="32">
        <v>-0.88476309736183789</v>
      </c>
      <c r="U61" s="32">
        <v>-1.2605324003115399</v>
      </c>
      <c r="V61" s="32" t="s">
        <v>611</v>
      </c>
      <c r="W61" s="32" t="s">
        <v>611</v>
      </c>
      <c r="X61" s="32" t="s">
        <v>611</v>
      </c>
      <c r="Y61" s="32" t="s">
        <v>611</v>
      </c>
      <c r="Z61" s="32">
        <v>0</v>
      </c>
      <c r="AA61" s="32">
        <v>0</v>
      </c>
      <c r="AB61" s="32">
        <v>0</v>
      </c>
      <c r="AC61" s="32">
        <v>0</v>
      </c>
      <c r="AD61" s="32">
        <v>0</v>
      </c>
      <c r="AE61" s="32">
        <v>0</v>
      </c>
      <c r="AF61" s="32">
        <v>0</v>
      </c>
      <c r="AG61" s="32">
        <v>0</v>
      </c>
      <c r="AH61" s="32">
        <v>-0.4283347068690555</v>
      </c>
      <c r="AI61" s="32">
        <v>-0.10605175266784705</v>
      </c>
      <c r="AJ61" s="32">
        <v>-0.88476309736183789</v>
      </c>
      <c r="AK61" s="32">
        <v>-1.2605324003115399</v>
      </c>
      <c r="AL61" s="32">
        <v>-2.6796819572102804</v>
      </c>
      <c r="AM61" s="32">
        <v>46.085676927482965</v>
      </c>
      <c r="AN61" s="32">
        <v>7.9361234756248979</v>
      </c>
      <c r="AO61" s="32">
        <v>5.4021800403107862</v>
      </c>
      <c r="AP61" s="32">
        <v>0</v>
      </c>
      <c r="AQ61" s="32">
        <v>59.42398044341865</v>
      </c>
      <c r="AR61" s="32">
        <v>-0.4283347068690555</v>
      </c>
      <c r="AS61" s="383">
        <v>9999</v>
      </c>
      <c r="AT61" s="32">
        <v>46.085676927482965</v>
      </c>
      <c r="AU61" s="32">
        <v>8.9775152439195693</v>
      </c>
      <c r="AV61" s="32">
        <v>5.5063192171402537</v>
      </c>
      <c r="AW61" s="32">
        <v>0</v>
      </c>
      <c r="AX61" s="32">
        <v>60.569511388542786</v>
      </c>
      <c r="AY61" s="32">
        <v>-0.10605175266784705</v>
      </c>
      <c r="AZ61" s="383">
        <v>9999</v>
      </c>
      <c r="BA61" s="32">
        <v>46.085676927482965</v>
      </c>
      <c r="BB61" s="32">
        <v>16.913638719544466</v>
      </c>
      <c r="BC61" s="32">
        <v>6.2999315647027432</v>
      </c>
      <c r="BD61" s="32">
        <v>0</v>
      </c>
      <c r="BE61" s="32">
        <v>69.299247211730176</v>
      </c>
      <c r="BF61" s="32">
        <v>-0.53438645953690256</v>
      </c>
      <c r="BG61" s="32">
        <v>-18.185686906921656</v>
      </c>
      <c r="BH61" s="383">
        <v>9999</v>
      </c>
      <c r="BI61" s="32">
        <v>-0.32800972961716296</v>
      </c>
      <c r="BJ61" s="32">
        <v>-8.1212206622894662E-2</v>
      </c>
      <c r="BK61" s="32">
        <v>-0.67753301258779219</v>
      </c>
      <c r="BL61" s="32">
        <v>-0.9652892590052502</v>
      </c>
      <c r="BM61" s="32">
        <v>-2.0520442078331</v>
      </c>
      <c r="BN61" s="32">
        <v>46.085676927482965</v>
      </c>
      <c r="BO61" s="32">
        <v>0</v>
      </c>
      <c r="BP61" s="32">
        <v>16.913638719544466</v>
      </c>
      <c r="BQ61" s="32">
        <v>0</v>
      </c>
      <c r="BR61" s="32">
        <v>0</v>
      </c>
      <c r="BS61" s="32">
        <v>0</v>
      </c>
      <c r="BT61" s="32">
        <v>0</v>
      </c>
      <c r="BU61" s="32">
        <v>0</v>
      </c>
      <c r="BV61" s="32">
        <v>0</v>
      </c>
      <c r="BW61" s="32">
        <v>6.2999315647027432</v>
      </c>
      <c r="BX61" s="32">
        <v>-2.6796819572102804</v>
      </c>
      <c r="BY61" s="32"/>
      <c r="BZ61" s="32">
        <v>0</v>
      </c>
      <c r="CA61" s="32">
        <v>0</v>
      </c>
      <c r="CB61" s="32">
        <v>69.299247211730176</v>
      </c>
      <c r="CC61" s="32">
        <v>-2.6796819572102804</v>
      </c>
      <c r="CD61" s="383">
        <v>9999</v>
      </c>
      <c r="CE61" s="32">
        <v>-19.828509178514697</v>
      </c>
      <c r="CF61" s="32">
        <v>0.91283496984754209</v>
      </c>
      <c r="CG61" s="32">
        <v>0</v>
      </c>
      <c r="CH61" s="32">
        <v>0.91283496984754209</v>
      </c>
      <c r="CI61" s="32">
        <v>4.5641537249482722E-2</v>
      </c>
      <c r="CJ61" s="32">
        <v>0</v>
      </c>
      <c r="CK61" s="32">
        <v>4.5641537249482722E-2</v>
      </c>
      <c r="CL61" s="32"/>
      <c r="CM61" s="32">
        <v>0</v>
      </c>
      <c r="CN61" s="32"/>
      <c r="CO61" s="32">
        <v>0</v>
      </c>
      <c r="CP61" s="32">
        <v>0</v>
      </c>
      <c r="CQ61" s="32">
        <v>0</v>
      </c>
      <c r="CR61" s="32">
        <v>0</v>
      </c>
      <c r="CS61" s="32">
        <v>0</v>
      </c>
      <c r="CT61" s="32">
        <v>0</v>
      </c>
      <c r="CU61" s="32">
        <v>-0.88476309736183789</v>
      </c>
      <c r="CV61" s="32">
        <v>9999</v>
      </c>
      <c r="CW61" s="383">
        <v>9999</v>
      </c>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row>
    <row r="62" spans="1:131">
      <c r="A62" s="11" t="s">
        <v>664</v>
      </c>
      <c r="B62" s="11" t="s">
        <v>529</v>
      </c>
      <c r="C62" s="32">
        <v>16.279069767441861</v>
      </c>
      <c r="D62" s="32">
        <v>67.724999999999994</v>
      </c>
      <c r="E62" s="32">
        <v>0</v>
      </c>
      <c r="F62" s="32">
        <v>-2.1479739877325699</v>
      </c>
      <c r="G62" s="32">
        <v>0</v>
      </c>
      <c r="H62" s="32">
        <v>0</v>
      </c>
      <c r="I62" s="32" t="s">
        <v>526</v>
      </c>
      <c r="J62" s="32"/>
      <c r="K62" s="32"/>
      <c r="L62" s="32">
        <v>76.626698113721829</v>
      </c>
      <c r="M62" s="32">
        <v>1.791095079752577E-2</v>
      </c>
      <c r="N62" s="32">
        <v>1.6993311952111734E-2</v>
      </c>
      <c r="O62" s="32">
        <v>0</v>
      </c>
      <c r="P62" s="32">
        <v>0</v>
      </c>
      <c r="Q62" s="32">
        <v>0</v>
      </c>
      <c r="R62" s="32">
        <v>-0.4283347068690555</v>
      </c>
      <c r="S62" s="32">
        <v>-0.10605175266784705</v>
      </c>
      <c r="T62" s="32">
        <v>-0.88476309736183789</v>
      </c>
      <c r="U62" s="32">
        <v>-1.2605324003115399</v>
      </c>
      <c r="V62" s="32" t="s">
        <v>611</v>
      </c>
      <c r="W62" s="32" t="s">
        <v>611</v>
      </c>
      <c r="X62" s="32" t="s">
        <v>611</v>
      </c>
      <c r="Y62" s="32" t="s">
        <v>611</v>
      </c>
      <c r="Z62" s="32">
        <v>0</v>
      </c>
      <c r="AA62" s="32">
        <v>0</v>
      </c>
      <c r="AB62" s="32">
        <v>0</v>
      </c>
      <c r="AC62" s="32">
        <v>0</v>
      </c>
      <c r="AD62" s="32">
        <v>0</v>
      </c>
      <c r="AE62" s="32">
        <v>0</v>
      </c>
      <c r="AF62" s="32">
        <v>0</v>
      </c>
      <c r="AG62" s="32">
        <v>0</v>
      </c>
      <c r="AH62" s="32">
        <v>-0.4283347068690555</v>
      </c>
      <c r="AI62" s="32">
        <v>-0.10605175266784705</v>
      </c>
      <c r="AJ62" s="32">
        <v>-0.88476309736183789</v>
      </c>
      <c r="AK62" s="32">
        <v>-1.2605324003115399</v>
      </c>
      <c r="AL62" s="32">
        <v>-2.6796819572102804</v>
      </c>
      <c r="AM62" s="32">
        <v>36.751868942169999</v>
      </c>
      <c r="AN62" s="32">
        <v>6.3288073286628945</v>
      </c>
      <c r="AO62" s="32">
        <v>4.3080676270832896</v>
      </c>
      <c r="AP62" s="32">
        <v>0</v>
      </c>
      <c r="AQ62" s="32">
        <v>47.388743897916186</v>
      </c>
      <c r="AR62" s="32">
        <v>-0.4283347068690555</v>
      </c>
      <c r="AS62" s="383">
        <v>9999</v>
      </c>
      <c r="AT62" s="32">
        <v>36.751868942169999</v>
      </c>
      <c r="AU62" s="32">
        <v>7.1592843084421878</v>
      </c>
      <c r="AV62" s="32">
        <v>4.3911153250612189</v>
      </c>
      <c r="AW62" s="32">
        <v>0</v>
      </c>
      <c r="AX62" s="32">
        <v>48.302268575673409</v>
      </c>
      <c r="AY62" s="32">
        <v>-0.10605175266784705</v>
      </c>
      <c r="AZ62" s="383">
        <v>9999</v>
      </c>
      <c r="BA62" s="32">
        <v>36.751868942169999</v>
      </c>
      <c r="BB62" s="32">
        <v>13.488091637105082</v>
      </c>
      <c r="BC62" s="32">
        <v>5.0239960579275085</v>
      </c>
      <c r="BD62" s="32">
        <v>0</v>
      </c>
      <c r="BE62" s="32">
        <v>55.263956637202597</v>
      </c>
      <c r="BF62" s="32">
        <v>-0.53438645953690256</v>
      </c>
      <c r="BG62" s="32">
        <v>-18.289616287554068</v>
      </c>
      <c r="BH62" s="383">
        <v>9999</v>
      </c>
      <c r="BI62" s="32">
        <v>-0.4113137879326329</v>
      </c>
      <c r="BJ62" s="32">
        <v>-0.1018375289398203</v>
      </c>
      <c r="BK62" s="32">
        <v>-0.84960488880056495</v>
      </c>
      <c r="BL62" s="32">
        <v>-1.2104420866891235</v>
      </c>
      <c r="BM62" s="32">
        <v>-2.5731982923621413</v>
      </c>
      <c r="BN62" s="32">
        <v>36.751868942169999</v>
      </c>
      <c r="BO62" s="32">
        <v>0</v>
      </c>
      <c r="BP62" s="32">
        <v>13.488091637105082</v>
      </c>
      <c r="BQ62" s="32">
        <v>0</v>
      </c>
      <c r="BR62" s="32">
        <v>0</v>
      </c>
      <c r="BS62" s="32">
        <v>0</v>
      </c>
      <c r="BT62" s="32">
        <v>0</v>
      </c>
      <c r="BU62" s="32">
        <v>0</v>
      </c>
      <c r="BV62" s="32">
        <v>0</v>
      </c>
      <c r="BW62" s="32">
        <v>5.0239960579275085</v>
      </c>
      <c r="BX62" s="32">
        <v>-2.6796819572102804</v>
      </c>
      <c r="BY62" s="32"/>
      <c r="BZ62" s="32">
        <v>0</v>
      </c>
      <c r="CA62" s="32">
        <v>0</v>
      </c>
      <c r="CB62" s="32">
        <v>55.26395663720259</v>
      </c>
      <c r="CC62" s="32">
        <v>-2.6796819572102804</v>
      </c>
      <c r="CD62" s="383">
        <v>9999</v>
      </c>
      <c r="CE62" s="32">
        <v>-20.349663263043741</v>
      </c>
      <c r="CF62" s="32">
        <v>0.72795700127082397</v>
      </c>
      <c r="CG62" s="32">
        <v>0</v>
      </c>
      <c r="CH62" s="32">
        <v>0.72795700127082397</v>
      </c>
      <c r="CI62" s="32">
        <v>3.6397681604017865E-2</v>
      </c>
      <c r="CJ62" s="32">
        <v>0</v>
      </c>
      <c r="CK62" s="32">
        <v>3.6397681604017865E-2</v>
      </c>
      <c r="CL62" s="32"/>
      <c r="CM62" s="32">
        <v>0</v>
      </c>
      <c r="CN62" s="32"/>
      <c r="CO62" s="32">
        <v>0</v>
      </c>
      <c r="CP62" s="32">
        <v>0</v>
      </c>
      <c r="CQ62" s="32">
        <v>0</v>
      </c>
      <c r="CR62" s="32">
        <v>0</v>
      </c>
      <c r="CS62" s="32">
        <v>0</v>
      </c>
      <c r="CT62" s="32">
        <v>0</v>
      </c>
      <c r="CU62" s="32">
        <v>-0.88476309736183789</v>
      </c>
      <c r="CV62" s="32">
        <v>9999</v>
      </c>
      <c r="CW62" s="383">
        <v>9999</v>
      </c>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row>
    <row r="63" spans="1:131">
      <c r="A63" s="11" t="s">
        <v>664</v>
      </c>
      <c r="B63" s="11" t="s">
        <v>530</v>
      </c>
      <c r="C63" s="32">
        <v>16.279069767441861</v>
      </c>
      <c r="D63" s="32">
        <v>67.724999999999994</v>
      </c>
      <c r="E63" s="32">
        <v>0</v>
      </c>
      <c r="F63" s="32">
        <v>-2.1479739877325699</v>
      </c>
      <c r="G63" s="32">
        <v>0</v>
      </c>
      <c r="H63" s="32">
        <v>0</v>
      </c>
      <c r="I63" s="32" t="s">
        <v>526</v>
      </c>
      <c r="J63" s="32"/>
      <c r="K63" s="32"/>
      <c r="L63" s="32">
        <v>76.626698113721829</v>
      </c>
      <c r="M63" s="32">
        <v>1.791095079752577E-2</v>
      </c>
      <c r="N63" s="32">
        <v>1.6993311952111734E-2</v>
      </c>
      <c r="O63" s="32">
        <v>0</v>
      </c>
      <c r="P63" s="32">
        <v>0</v>
      </c>
      <c r="Q63" s="32">
        <v>0</v>
      </c>
      <c r="R63" s="32">
        <v>-0.4283347068690555</v>
      </c>
      <c r="S63" s="32">
        <v>-0.10605175266784705</v>
      </c>
      <c r="T63" s="32">
        <v>-0.88476309736183789</v>
      </c>
      <c r="U63" s="32">
        <v>-1.2605324003115399</v>
      </c>
      <c r="V63" s="32" t="s">
        <v>611</v>
      </c>
      <c r="W63" s="32" t="s">
        <v>611</v>
      </c>
      <c r="X63" s="32" t="s">
        <v>611</v>
      </c>
      <c r="Y63" s="32" t="s">
        <v>611</v>
      </c>
      <c r="Z63" s="32">
        <v>0</v>
      </c>
      <c r="AA63" s="32">
        <v>0</v>
      </c>
      <c r="AB63" s="32">
        <v>0</v>
      </c>
      <c r="AC63" s="32">
        <v>0</v>
      </c>
      <c r="AD63" s="32">
        <v>0</v>
      </c>
      <c r="AE63" s="32">
        <v>0</v>
      </c>
      <c r="AF63" s="32">
        <v>0</v>
      </c>
      <c r="AG63" s="32">
        <v>0</v>
      </c>
      <c r="AH63" s="32">
        <v>-0.4283347068690555</v>
      </c>
      <c r="AI63" s="32">
        <v>-0.10605175266784705</v>
      </c>
      <c r="AJ63" s="32">
        <v>-0.88476309736183789</v>
      </c>
      <c r="AK63" s="32">
        <v>-1.2605324003115399</v>
      </c>
      <c r="AL63" s="32">
        <v>-2.6796819572102804</v>
      </c>
      <c r="AM63" s="32">
        <v>36.751868942169999</v>
      </c>
      <c r="AN63" s="32">
        <v>6.3288073286628945</v>
      </c>
      <c r="AO63" s="32">
        <v>4.3080676270832896</v>
      </c>
      <c r="AP63" s="32">
        <v>0</v>
      </c>
      <c r="AQ63" s="32">
        <v>47.388743897916186</v>
      </c>
      <c r="AR63" s="32">
        <v>-0.4283347068690555</v>
      </c>
      <c r="AS63" s="383">
        <v>9999</v>
      </c>
      <c r="AT63" s="32">
        <v>36.751868942169999</v>
      </c>
      <c r="AU63" s="32">
        <v>7.1592843084421878</v>
      </c>
      <c r="AV63" s="32">
        <v>4.3911153250612189</v>
      </c>
      <c r="AW63" s="32">
        <v>0</v>
      </c>
      <c r="AX63" s="32">
        <v>48.302268575673409</v>
      </c>
      <c r="AY63" s="32">
        <v>-0.10605175266784705</v>
      </c>
      <c r="AZ63" s="383">
        <v>9999</v>
      </c>
      <c r="BA63" s="32">
        <v>36.751868942169999</v>
      </c>
      <c r="BB63" s="32">
        <v>13.488091637105082</v>
      </c>
      <c r="BC63" s="32">
        <v>5.0239960579275085</v>
      </c>
      <c r="BD63" s="32">
        <v>0</v>
      </c>
      <c r="BE63" s="32">
        <v>55.263956637202597</v>
      </c>
      <c r="BF63" s="32">
        <v>-0.53438645953690256</v>
      </c>
      <c r="BG63" s="32">
        <v>-18.289616287554068</v>
      </c>
      <c r="BH63" s="383">
        <v>9999</v>
      </c>
      <c r="BI63" s="32">
        <v>-0.4113137879326329</v>
      </c>
      <c r="BJ63" s="32">
        <v>-0.1018375289398203</v>
      </c>
      <c r="BK63" s="32">
        <v>-0.84960488880056495</v>
      </c>
      <c r="BL63" s="32">
        <v>-1.2104420866891235</v>
      </c>
      <c r="BM63" s="32">
        <v>-2.5731982923621413</v>
      </c>
      <c r="BN63" s="32">
        <v>36.751868942169999</v>
      </c>
      <c r="BO63" s="32">
        <v>0</v>
      </c>
      <c r="BP63" s="32">
        <v>13.488091637105082</v>
      </c>
      <c r="BQ63" s="32">
        <v>0</v>
      </c>
      <c r="BR63" s="32">
        <v>0</v>
      </c>
      <c r="BS63" s="32">
        <v>0</v>
      </c>
      <c r="BT63" s="32">
        <v>0</v>
      </c>
      <c r="BU63" s="32">
        <v>0</v>
      </c>
      <c r="BV63" s="32">
        <v>0</v>
      </c>
      <c r="BW63" s="32">
        <v>5.0239960579275085</v>
      </c>
      <c r="BX63" s="32">
        <v>-2.6796819572102804</v>
      </c>
      <c r="BY63" s="32"/>
      <c r="BZ63" s="32">
        <v>0</v>
      </c>
      <c r="CA63" s="32">
        <v>0</v>
      </c>
      <c r="CB63" s="32">
        <v>55.26395663720259</v>
      </c>
      <c r="CC63" s="32">
        <v>-2.6796819572102804</v>
      </c>
      <c r="CD63" s="383">
        <v>9999</v>
      </c>
      <c r="CE63" s="32">
        <v>-20.349663263043741</v>
      </c>
      <c r="CF63" s="32">
        <v>0.72795700127082397</v>
      </c>
      <c r="CG63" s="32">
        <v>0</v>
      </c>
      <c r="CH63" s="32">
        <v>0.72795700127082397</v>
      </c>
      <c r="CI63" s="32">
        <v>3.6397681604017865E-2</v>
      </c>
      <c r="CJ63" s="32">
        <v>0</v>
      </c>
      <c r="CK63" s="32">
        <v>3.6397681604017865E-2</v>
      </c>
      <c r="CL63" s="32"/>
      <c r="CM63" s="32">
        <v>0</v>
      </c>
      <c r="CN63" s="32"/>
      <c r="CO63" s="32">
        <v>0</v>
      </c>
      <c r="CP63" s="32">
        <v>0</v>
      </c>
      <c r="CQ63" s="32">
        <v>0</v>
      </c>
      <c r="CR63" s="32">
        <v>0</v>
      </c>
      <c r="CS63" s="32">
        <v>0</v>
      </c>
      <c r="CT63" s="32">
        <v>0</v>
      </c>
      <c r="CU63" s="32">
        <v>-0.88476309736183789</v>
      </c>
      <c r="CV63" s="32">
        <v>9999</v>
      </c>
      <c r="CW63" s="383">
        <v>9999</v>
      </c>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row>
    <row r="64" spans="1:131">
      <c r="A64" s="11" t="s">
        <v>665</v>
      </c>
      <c r="B64" s="11" t="s">
        <v>840</v>
      </c>
      <c r="C64" s="32">
        <v>16.279069767441861</v>
      </c>
      <c r="D64" s="32">
        <v>204.25</v>
      </c>
      <c r="E64" s="32">
        <v>0</v>
      </c>
      <c r="F64" s="32">
        <v>1.0057886064783617</v>
      </c>
      <c r="G64" s="32">
        <v>0</v>
      </c>
      <c r="H64" s="32">
        <v>0</v>
      </c>
      <c r="I64" s="32" t="s">
        <v>526</v>
      </c>
      <c r="J64" s="32"/>
      <c r="K64" s="32"/>
      <c r="L64" s="32">
        <v>231.09639113662143</v>
      </c>
      <c r="M64" s="32">
        <v>5.4017153198887245E-2</v>
      </c>
      <c r="N64" s="32">
        <v>5.1249670966686187E-2</v>
      </c>
      <c r="O64" s="32">
        <v>0</v>
      </c>
      <c r="P64" s="32">
        <v>0</v>
      </c>
      <c r="Q64" s="32">
        <v>0</v>
      </c>
      <c r="R64" s="32">
        <v>0.20056768396106978</v>
      </c>
      <c r="S64" s="32">
        <v>4.9658722656590201E-2</v>
      </c>
      <c r="T64" s="32">
        <v>0.4142902324894614</v>
      </c>
      <c r="U64" s="32">
        <v>0.59024417128463713</v>
      </c>
      <c r="V64" s="32" t="s">
        <v>611</v>
      </c>
      <c r="W64" s="32" t="s">
        <v>611</v>
      </c>
      <c r="X64" s="32" t="s">
        <v>611</v>
      </c>
      <c r="Y64" s="32" t="s">
        <v>611</v>
      </c>
      <c r="Z64" s="32">
        <v>0</v>
      </c>
      <c r="AA64" s="32">
        <v>0</v>
      </c>
      <c r="AB64" s="32">
        <v>0</v>
      </c>
      <c r="AC64" s="32">
        <v>0</v>
      </c>
      <c r="AD64" s="32">
        <v>0</v>
      </c>
      <c r="AE64" s="32">
        <v>0</v>
      </c>
      <c r="AF64" s="32">
        <v>0</v>
      </c>
      <c r="AG64" s="32">
        <v>0</v>
      </c>
      <c r="AH64" s="32">
        <v>0.20056768396106978</v>
      </c>
      <c r="AI64" s="32">
        <v>4.9658722656590201E-2</v>
      </c>
      <c r="AJ64" s="32">
        <v>0.4142902324894614</v>
      </c>
      <c r="AK64" s="32">
        <v>0.59024417128463713</v>
      </c>
      <c r="AL64" s="32">
        <v>1.2547608103917585</v>
      </c>
      <c r="AM64" s="32">
        <v>110.83896982559205</v>
      </c>
      <c r="AN64" s="32">
        <v>19.086879245173812</v>
      </c>
      <c r="AO64" s="32">
        <v>12.992584907076587</v>
      </c>
      <c r="AP64" s="32">
        <v>0</v>
      </c>
      <c r="AQ64" s="32">
        <v>142.91843397784243</v>
      </c>
      <c r="AR64" s="32">
        <v>0.20056768396106978</v>
      </c>
      <c r="AS64" s="383">
        <v>712.56959822890974</v>
      </c>
      <c r="AT64" s="32">
        <v>110.83896982559205</v>
      </c>
      <c r="AU64" s="32">
        <v>21.591492358793907</v>
      </c>
      <c r="AV64" s="32">
        <v>13.243046218438597</v>
      </c>
      <c r="AW64" s="32">
        <v>0</v>
      </c>
      <c r="AX64" s="32">
        <v>145.67350840282455</v>
      </c>
      <c r="AY64" s="32">
        <v>4.9658722656590201E-2</v>
      </c>
      <c r="AZ64" s="383">
        <v>2933.4928610672237</v>
      </c>
      <c r="BA64" s="32">
        <v>110.83896982559205</v>
      </c>
      <c r="BB64" s="32">
        <v>40.678371603967719</v>
      </c>
      <c r="BC64" s="32">
        <v>15.151734142955977</v>
      </c>
      <c r="BD64" s="32">
        <v>0</v>
      </c>
      <c r="BE64" s="32">
        <v>166.66907557251574</v>
      </c>
      <c r="BF64" s="32">
        <v>0.25022640661765999</v>
      </c>
      <c r="BG64" s="32">
        <v>-17.696792168839856</v>
      </c>
      <c r="BH64" s="383">
        <v>666.07308886940189</v>
      </c>
      <c r="BI64" s="32">
        <v>6.3861322855924413E-2</v>
      </c>
      <c r="BJ64" s="32">
        <v>1.5811478985821366E-2</v>
      </c>
      <c r="BK64" s="32">
        <v>0.13191119212505248</v>
      </c>
      <c r="BL64" s="32">
        <v>0.18793542828939547</v>
      </c>
      <c r="BM64" s="32">
        <v>0.39951942225619375</v>
      </c>
      <c r="BN64" s="32">
        <v>110.83896982559205</v>
      </c>
      <c r="BO64" s="32">
        <v>0</v>
      </c>
      <c r="BP64" s="32">
        <v>40.678371603967719</v>
      </c>
      <c r="BQ64" s="32">
        <v>0</v>
      </c>
      <c r="BR64" s="32">
        <v>0</v>
      </c>
      <c r="BS64" s="32">
        <v>0</v>
      </c>
      <c r="BT64" s="32">
        <v>0</v>
      </c>
      <c r="BU64" s="32">
        <v>0</v>
      </c>
      <c r="BV64" s="32">
        <v>0</v>
      </c>
      <c r="BW64" s="32">
        <v>15.151734142955977</v>
      </c>
      <c r="BX64" s="32">
        <v>1.2547608103917585</v>
      </c>
      <c r="BY64" s="32"/>
      <c r="BZ64" s="32">
        <v>0</v>
      </c>
      <c r="CA64" s="32">
        <v>0</v>
      </c>
      <c r="CB64" s="32">
        <v>166.66907557251574</v>
      </c>
      <c r="CC64" s="32">
        <v>1.2547608103917585</v>
      </c>
      <c r="CD64" s="383">
        <v>132.8293601395462</v>
      </c>
      <c r="CE64" s="32">
        <v>-17.376945548425407</v>
      </c>
      <c r="CF64" s="32">
        <v>2.1954258768485122</v>
      </c>
      <c r="CG64" s="32">
        <v>0</v>
      </c>
      <c r="CH64" s="32">
        <v>2.1954258768485122</v>
      </c>
      <c r="CI64" s="32">
        <v>0.10977078578989516</v>
      </c>
      <c r="CJ64" s="32">
        <v>0</v>
      </c>
      <c r="CK64" s="32">
        <v>0.10977078578989516</v>
      </c>
      <c r="CL64" s="32"/>
      <c r="CM64" s="32">
        <v>0</v>
      </c>
      <c r="CN64" s="32"/>
      <c r="CO64" s="32">
        <v>0</v>
      </c>
      <c r="CP64" s="32">
        <v>0</v>
      </c>
      <c r="CQ64" s="32">
        <v>0</v>
      </c>
      <c r="CR64" s="32">
        <v>0</v>
      </c>
      <c r="CS64" s="32">
        <v>0</v>
      </c>
      <c r="CT64" s="32">
        <v>0</v>
      </c>
      <c r="CU64" s="32">
        <v>0.4142902324894614</v>
      </c>
      <c r="CV64" s="32">
        <v>9999</v>
      </c>
      <c r="CW64" s="384">
        <v>0</v>
      </c>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row>
    <row r="65" spans="1:131">
      <c r="A65" s="11" t="s">
        <v>665</v>
      </c>
      <c r="B65" s="11" t="s">
        <v>841</v>
      </c>
      <c r="C65" s="32">
        <v>16.279069767441861</v>
      </c>
      <c r="D65" s="32">
        <v>204.25</v>
      </c>
      <c r="E65" s="32">
        <v>0</v>
      </c>
      <c r="F65" s="32">
        <v>1.0057886064783617</v>
      </c>
      <c r="G65" s="32">
        <v>0</v>
      </c>
      <c r="H65" s="32">
        <v>0</v>
      </c>
      <c r="I65" s="32" t="s">
        <v>526</v>
      </c>
      <c r="J65" s="32"/>
      <c r="K65" s="32"/>
      <c r="L65" s="32">
        <v>231.09639113662143</v>
      </c>
      <c r="M65" s="32">
        <v>5.4017153198887245E-2</v>
      </c>
      <c r="N65" s="32">
        <v>5.1249670966686187E-2</v>
      </c>
      <c r="O65" s="32">
        <v>0</v>
      </c>
      <c r="P65" s="32">
        <v>0</v>
      </c>
      <c r="Q65" s="32">
        <v>0</v>
      </c>
      <c r="R65" s="32">
        <v>0.20056768396106978</v>
      </c>
      <c r="S65" s="32">
        <v>4.9658722656590201E-2</v>
      </c>
      <c r="T65" s="32">
        <v>0.4142902324894614</v>
      </c>
      <c r="U65" s="32">
        <v>0.59024417128463713</v>
      </c>
      <c r="V65" s="32" t="s">
        <v>611</v>
      </c>
      <c r="W65" s="32" t="s">
        <v>611</v>
      </c>
      <c r="X65" s="32" t="s">
        <v>611</v>
      </c>
      <c r="Y65" s="32" t="s">
        <v>611</v>
      </c>
      <c r="Z65" s="32">
        <v>0</v>
      </c>
      <c r="AA65" s="32">
        <v>0</v>
      </c>
      <c r="AB65" s="32">
        <v>0</v>
      </c>
      <c r="AC65" s="32">
        <v>0</v>
      </c>
      <c r="AD65" s="32">
        <v>0</v>
      </c>
      <c r="AE65" s="32">
        <v>0</v>
      </c>
      <c r="AF65" s="32">
        <v>0</v>
      </c>
      <c r="AG65" s="32">
        <v>0</v>
      </c>
      <c r="AH65" s="32">
        <v>0.20056768396106978</v>
      </c>
      <c r="AI65" s="32">
        <v>4.9658722656590201E-2</v>
      </c>
      <c r="AJ65" s="32">
        <v>0.4142902324894614</v>
      </c>
      <c r="AK65" s="32">
        <v>0.59024417128463713</v>
      </c>
      <c r="AL65" s="32">
        <v>1.2547608103917585</v>
      </c>
      <c r="AM65" s="32">
        <v>110.83896982559205</v>
      </c>
      <c r="AN65" s="32">
        <v>19.086879245173812</v>
      </c>
      <c r="AO65" s="32">
        <v>12.992584907076587</v>
      </c>
      <c r="AP65" s="32">
        <v>0</v>
      </c>
      <c r="AQ65" s="32">
        <v>142.91843397784243</v>
      </c>
      <c r="AR65" s="32">
        <v>0.20056768396106978</v>
      </c>
      <c r="AS65" s="383">
        <v>712.56959822890974</v>
      </c>
      <c r="AT65" s="32">
        <v>110.83896982559205</v>
      </c>
      <c r="AU65" s="32">
        <v>21.591492358793907</v>
      </c>
      <c r="AV65" s="32">
        <v>13.243046218438597</v>
      </c>
      <c r="AW65" s="32">
        <v>0</v>
      </c>
      <c r="AX65" s="32">
        <v>145.67350840282455</v>
      </c>
      <c r="AY65" s="32">
        <v>4.9658722656590201E-2</v>
      </c>
      <c r="AZ65" s="383">
        <v>2933.4928610672237</v>
      </c>
      <c r="BA65" s="32">
        <v>110.83896982559205</v>
      </c>
      <c r="BB65" s="32">
        <v>40.678371603967719</v>
      </c>
      <c r="BC65" s="32">
        <v>15.151734142955977</v>
      </c>
      <c r="BD65" s="32">
        <v>0</v>
      </c>
      <c r="BE65" s="32">
        <v>166.66907557251574</v>
      </c>
      <c r="BF65" s="32">
        <v>0.25022640661765999</v>
      </c>
      <c r="BG65" s="32">
        <v>-17.696792168839856</v>
      </c>
      <c r="BH65" s="383">
        <v>666.07308886940189</v>
      </c>
      <c r="BI65" s="32">
        <v>6.3861322855924413E-2</v>
      </c>
      <c r="BJ65" s="32">
        <v>1.5811478985821366E-2</v>
      </c>
      <c r="BK65" s="32">
        <v>0.13191119212505248</v>
      </c>
      <c r="BL65" s="32">
        <v>0.18793542828939547</v>
      </c>
      <c r="BM65" s="32">
        <v>0.39951942225619375</v>
      </c>
      <c r="BN65" s="32">
        <v>110.83896982559205</v>
      </c>
      <c r="BO65" s="32">
        <v>0</v>
      </c>
      <c r="BP65" s="32">
        <v>40.678371603967719</v>
      </c>
      <c r="BQ65" s="32">
        <v>0</v>
      </c>
      <c r="BR65" s="32">
        <v>0</v>
      </c>
      <c r="BS65" s="32">
        <v>0</v>
      </c>
      <c r="BT65" s="32">
        <v>0</v>
      </c>
      <c r="BU65" s="32">
        <v>0</v>
      </c>
      <c r="BV65" s="32">
        <v>0</v>
      </c>
      <c r="BW65" s="32">
        <v>15.151734142955977</v>
      </c>
      <c r="BX65" s="32">
        <v>1.2547608103917585</v>
      </c>
      <c r="BY65" s="32"/>
      <c r="BZ65" s="32">
        <v>0</v>
      </c>
      <c r="CA65" s="32">
        <v>0</v>
      </c>
      <c r="CB65" s="32">
        <v>166.66907557251574</v>
      </c>
      <c r="CC65" s="32">
        <v>1.2547608103917585</v>
      </c>
      <c r="CD65" s="383">
        <v>132.8293601395462</v>
      </c>
      <c r="CE65" s="32">
        <v>-17.376945548425407</v>
      </c>
      <c r="CF65" s="32">
        <v>2.1954258768485122</v>
      </c>
      <c r="CG65" s="32">
        <v>0</v>
      </c>
      <c r="CH65" s="32">
        <v>2.1954258768485122</v>
      </c>
      <c r="CI65" s="32">
        <v>0.10977078578989516</v>
      </c>
      <c r="CJ65" s="32">
        <v>0</v>
      </c>
      <c r="CK65" s="32">
        <v>0.10977078578989516</v>
      </c>
      <c r="CL65" s="32"/>
      <c r="CM65" s="32">
        <v>0</v>
      </c>
      <c r="CN65" s="32"/>
      <c r="CO65" s="32">
        <v>0</v>
      </c>
      <c r="CP65" s="32">
        <v>0</v>
      </c>
      <c r="CQ65" s="32">
        <v>0</v>
      </c>
      <c r="CR65" s="32">
        <v>0</v>
      </c>
      <c r="CS65" s="32">
        <v>0</v>
      </c>
      <c r="CT65" s="32">
        <v>0</v>
      </c>
      <c r="CU65" s="32">
        <v>0.4142902324894614</v>
      </c>
      <c r="CV65" s="32">
        <v>9999</v>
      </c>
      <c r="CW65" s="384">
        <v>0</v>
      </c>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row>
    <row r="66" spans="1:131">
      <c r="A66" s="11" t="s">
        <v>666</v>
      </c>
      <c r="B66" s="11" t="s">
        <v>842</v>
      </c>
      <c r="C66" s="32">
        <v>16.279069767441861</v>
      </c>
      <c r="D66" s="32">
        <v>333.25</v>
      </c>
      <c r="E66" s="32">
        <v>0</v>
      </c>
      <c r="F66" s="32">
        <v>1.0057886064783617</v>
      </c>
      <c r="G66" s="32">
        <v>0</v>
      </c>
      <c r="H66" s="32">
        <v>0</v>
      </c>
      <c r="I66" s="32" t="s">
        <v>526</v>
      </c>
      <c r="J66" s="32"/>
      <c r="K66" s="32"/>
      <c r="L66" s="32">
        <v>377.0520065913297</v>
      </c>
      <c r="M66" s="32">
        <v>8.8133249956079199E-2</v>
      </c>
      <c r="N66" s="32">
        <v>8.3617884208803783E-2</v>
      </c>
      <c r="O66" s="32">
        <v>0</v>
      </c>
      <c r="P66" s="32">
        <v>0</v>
      </c>
      <c r="Q66" s="32">
        <v>0</v>
      </c>
      <c r="R66" s="32">
        <v>0.20056768396106978</v>
      </c>
      <c r="S66" s="32">
        <v>4.9658722656590201E-2</v>
      </c>
      <c r="T66" s="32">
        <v>0.4142902324894614</v>
      </c>
      <c r="U66" s="32">
        <v>0.59024417128463713</v>
      </c>
      <c r="V66" s="32" t="s">
        <v>611</v>
      </c>
      <c r="W66" s="32" t="s">
        <v>611</v>
      </c>
      <c r="X66" s="32" t="s">
        <v>611</v>
      </c>
      <c r="Y66" s="32" t="s">
        <v>611</v>
      </c>
      <c r="Z66" s="32">
        <v>0</v>
      </c>
      <c r="AA66" s="32">
        <v>0</v>
      </c>
      <c r="AB66" s="32">
        <v>0</v>
      </c>
      <c r="AC66" s="32">
        <v>0</v>
      </c>
      <c r="AD66" s="32">
        <v>0</v>
      </c>
      <c r="AE66" s="32">
        <v>0</v>
      </c>
      <c r="AF66" s="32">
        <v>0</v>
      </c>
      <c r="AG66" s="32">
        <v>0</v>
      </c>
      <c r="AH66" s="32">
        <v>0.20056768396106978</v>
      </c>
      <c r="AI66" s="32">
        <v>4.9658722656590201E-2</v>
      </c>
      <c r="AJ66" s="32">
        <v>0.4142902324894614</v>
      </c>
      <c r="AK66" s="32">
        <v>0.59024417128463713</v>
      </c>
      <c r="AL66" s="32">
        <v>1.2547608103917585</v>
      </c>
      <c r="AM66" s="32">
        <v>180.84252971543961</v>
      </c>
      <c r="AN66" s="32">
        <v>31.141750347388854</v>
      </c>
      <c r="AO66" s="32">
        <v>21.198428006282846</v>
      </c>
      <c r="AP66" s="32">
        <v>0</v>
      </c>
      <c r="AQ66" s="32">
        <v>233.18270806911133</v>
      </c>
      <c r="AR66" s="32">
        <v>0.20056768396106978</v>
      </c>
      <c r="AS66" s="383">
        <v>1162.6135550050633</v>
      </c>
      <c r="AT66" s="32">
        <v>180.84252971543961</v>
      </c>
      <c r="AU66" s="32">
        <v>35.228224374874266</v>
      </c>
      <c r="AV66" s="32">
        <v>21.607075409031388</v>
      </c>
      <c r="AW66" s="32">
        <v>0</v>
      </c>
      <c r="AX66" s="32">
        <v>237.67782949934525</v>
      </c>
      <c r="AY66" s="32">
        <v>4.9658722656590201E-2</v>
      </c>
      <c r="AZ66" s="383">
        <v>4786.225194372837</v>
      </c>
      <c r="BA66" s="32">
        <v>180.84252971543961</v>
      </c>
      <c r="BB66" s="32">
        <v>66.369974722263123</v>
      </c>
      <c r="BC66" s="32">
        <v>24.721250443770273</v>
      </c>
      <c r="BD66" s="32">
        <v>0</v>
      </c>
      <c r="BE66" s="32">
        <v>271.93375488147302</v>
      </c>
      <c r="BF66" s="32">
        <v>0.25022640661765999</v>
      </c>
      <c r="BG66" s="32">
        <v>-17.727633253423758</v>
      </c>
      <c r="BH66" s="383">
        <v>1086.7508292079715</v>
      </c>
      <c r="BI66" s="32">
        <v>3.9140810782663349E-2</v>
      </c>
      <c r="BJ66" s="32">
        <v>9.6909064751808365E-3</v>
      </c>
      <c r="BK66" s="32">
        <v>8.0848795173419266E-2</v>
      </c>
      <c r="BL66" s="32">
        <v>0.11518623024188754</v>
      </c>
      <c r="BM66" s="32">
        <v>0.24486674267315098</v>
      </c>
      <c r="BN66" s="32">
        <v>180.84252971543961</v>
      </c>
      <c r="BO66" s="32">
        <v>0</v>
      </c>
      <c r="BP66" s="32">
        <v>66.369974722263123</v>
      </c>
      <c r="BQ66" s="32">
        <v>0</v>
      </c>
      <c r="BR66" s="32">
        <v>0</v>
      </c>
      <c r="BS66" s="32">
        <v>0</v>
      </c>
      <c r="BT66" s="32">
        <v>0</v>
      </c>
      <c r="BU66" s="32">
        <v>0</v>
      </c>
      <c r="BV66" s="32">
        <v>0</v>
      </c>
      <c r="BW66" s="32">
        <v>24.721250443770273</v>
      </c>
      <c r="BX66" s="32">
        <v>1.2547608103917585</v>
      </c>
      <c r="BY66" s="32"/>
      <c r="BZ66" s="32">
        <v>0</v>
      </c>
      <c r="CA66" s="32">
        <v>0</v>
      </c>
      <c r="CB66" s="32">
        <v>271.93375488147302</v>
      </c>
      <c r="CC66" s="32">
        <v>1.2547608103917585</v>
      </c>
      <c r="CD66" s="383">
        <v>216.7215875961017</v>
      </c>
      <c r="CE66" s="32">
        <v>-17.531598228008455</v>
      </c>
      <c r="CF66" s="32">
        <v>3.5820106411738895</v>
      </c>
      <c r="CG66" s="32">
        <v>0</v>
      </c>
      <c r="CH66" s="32">
        <v>3.5820106411738895</v>
      </c>
      <c r="CI66" s="32">
        <v>0.17909970313088158</v>
      </c>
      <c r="CJ66" s="32">
        <v>0</v>
      </c>
      <c r="CK66" s="32">
        <v>0.17909970313088158</v>
      </c>
      <c r="CL66" s="32"/>
      <c r="CM66" s="32">
        <v>0</v>
      </c>
      <c r="CN66" s="32"/>
      <c r="CO66" s="32">
        <v>0</v>
      </c>
      <c r="CP66" s="32">
        <v>0</v>
      </c>
      <c r="CQ66" s="32">
        <v>0</v>
      </c>
      <c r="CR66" s="32">
        <v>0</v>
      </c>
      <c r="CS66" s="32">
        <v>0</v>
      </c>
      <c r="CT66" s="32">
        <v>0</v>
      </c>
      <c r="CU66" s="32">
        <v>0.4142902324894614</v>
      </c>
      <c r="CV66" s="32">
        <v>9999</v>
      </c>
      <c r="CW66" s="384">
        <v>0</v>
      </c>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row>
    <row r="67" spans="1:131">
      <c r="A67" s="11" t="s">
        <v>666</v>
      </c>
      <c r="B67" s="11" t="s">
        <v>843</v>
      </c>
      <c r="C67" s="32">
        <v>16.279069767441861</v>
      </c>
      <c r="D67" s="32">
        <v>333.25</v>
      </c>
      <c r="E67" s="32">
        <v>0</v>
      </c>
      <c r="F67" s="32">
        <v>1.0057886064783617</v>
      </c>
      <c r="G67" s="32">
        <v>0</v>
      </c>
      <c r="H67" s="32">
        <v>0</v>
      </c>
      <c r="I67" s="32" t="s">
        <v>526</v>
      </c>
      <c r="J67" s="32"/>
      <c r="K67" s="32"/>
      <c r="L67" s="32">
        <v>377.0520065913297</v>
      </c>
      <c r="M67" s="32">
        <v>8.8133249956079199E-2</v>
      </c>
      <c r="N67" s="32">
        <v>8.3617884208803783E-2</v>
      </c>
      <c r="O67" s="32">
        <v>0</v>
      </c>
      <c r="P67" s="32">
        <v>0</v>
      </c>
      <c r="Q67" s="32">
        <v>0</v>
      </c>
      <c r="R67" s="32">
        <v>0.20056768396106978</v>
      </c>
      <c r="S67" s="32">
        <v>4.9658722656590201E-2</v>
      </c>
      <c r="T67" s="32">
        <v>0.4142902324894614</v>
      </c>
      <c r="U67" s="32">
        <v>0.59024417128463713</v>
      </c>
      <c r="V67" s="32" t="s">
        <v>611</v>
      </c>
      <c r="W67" s="32" t="s">
        <v>611</v>
      </c>
      <c r="X67" s="32" t="s">
        <v>611</v>
      </c>
      <c r="Y67" s="32" t="s">
        <v>611</v>
      </c>
      <c r="Z67" s="32">
        <v>0</v>
      </c>
      <c r="AA67" s="32">
        <v>0</v>
      </c>
      <c r="AB67" s="32">
        <v>0</v>
      </c>
      <c r="AC67" s="32">
        <v>0</v>
      </c>
      <c r="AD67" s="32">
        <v>0</v>
      </c>
      <c r="AE67" s="32">
        <v>0</v>
      </c>
      <c r="AF67" s="32">
        <v>0</v>
      </c>
      <c r="AG67" s="32">
        <v>0</v>
      </c>
      <c r="AH67" s="32">
        <v>0.20056768396106978</v>
      </c>
      <c r="AI67" s="32">
        <v>4.9658722656590201E-2</v>
      </c>
      <c r="AJ67" s="32">
        <v>0.4142902324894614</v>
      </c>
      <c r="AK67" s="32">
        <v>0.59024417128463713</v>
      </c>
      <c r="AL67" s="32">
        <v>1.2547608103917585</v>
      </c>
      <c r="AM67" s="32">
        <v>180.84252971543961</v>
      </c>
      <c r="AN67" s="32">
        <v>31.141750347388854</v>
      </c>
      <c r="AO67" s="32">
        <v>21.198428006282846</v>
      </c>
      <c r="AP67" s="32">
        <v>0</v>
      </c>
      <c r="AQ67" s="32">
        <v>233.18270806911133</v>
      </c>
      <c r="AR67" s="32">
        <v>0.20056768396106978</v>
      </c>
      <c r="AS67" s="383">
        <v>1162.6135550050633</v>
      </c>
      <c r="AT67" s="32">
        <v>180.84252971543961</v>
      </c>
      <c r="AU67" s="32">
        <v>35.228224374874266</v>
      </c>
      <c r="AV67" s="32">
        <v>21.607075409031388</v>
      </c>
      <c r="AW67" s="32">
        <v>0</v>
      </c>
      <c r="AX67" s="32">
        <v>237.67782949934525</v>
      </c>
      <c r="AY67" s="32">
        <v>4.9658722656590201E-2</v>
      </c>
      <c r="AZ67" s="383">
        <v>4786.225194372837</v>
      </c>
      <c r="BA67" s="32">
        <v>180.84252971543961</v>
      </c>
      <c r="BB67" s="32">
        <v>66.369974722263123</v>
      </c>
      <c r="BC67" s="32">
        <v>24.721250443770273</v>
      </c>
      <c r="BD67" s="32">
        <v>0</v>
      </c>
      <c r="BE67" s="32">
        <v>271.93375488147302</v>
      </c>
      <c r="BF67" s="32">
        <v>0.25022640661765999</v>
      </c>
      <c r="BG67" s="32">
        <v>-17.727633253423758</v>
      </c>
      <c r="BH67" s="383">
        <v>1086.7508292079715</v>
      </c>
      <c r="BI67" s="32">
        <v>3.9140810782663349E-2</v>
      </c>
      <c r="BJ67" s="32">
        <v>9.6909064751808365E-3</v>
      </c>
      <c r="BK67" s="32">
        <v>8.0848795173419266E-2</v>
      </c>
      <c r="BL67" s="32">
        <v>0.11518623024188754</v>
      </c>
      <c r="BM67" s="32">
        <v>0.24486674267315098</v>
      </c>
      <c r="BN67" s="32">
        <v>180.84252971543961</v>
      </c>
      <c r="BO67" s="32">
        <v>0</v>
      </c>
      <c r="BP67" s="32">
        <v>66.369974722263123</v>
      </c>
      <c r="BQ67" s="32">
        <v>0</v>
      </c>
      <c r="BR67" s="32">
        <v>0</v>
      </c>
      <c r="BS67" s="32">
        <v>0</v>
      </c>
      <c r="BT67" s="32">
        <v>0</v>
      </c>
      <c r="BU67" s="32">
        <v>0</v>
      </c>
      <c r="BV67" s="32">
        <v>0</v>
      </c>
      <c r="BW67" s="32">
        <v>24.721250443770273</v>
      </c>
      <c r="BX67" s="32">
        <v>1.2547608103917585</v>
      </c>
      <c r="BY67" s="32"/>
      <c r="BZ67" s="32">
        <v>0</v>
      </c>
      <c r="CA67" s="32">
        <v>0</v>
      </c>
      <c r="CB67" s="32">
        <v>271.93375488147302</v>
      </c>
      <c r="CC67" s="32">
        <v>1.2547608103917585</v>
      </c>
      <c r="CD67" s="383">
        <v>216.7215875961017</v>
      </c>
      <c r="CE67" s="32">
        <v>-17.531598228008455</v>
      </c>
      <c r="CF67" s="32">
        <v>3.5820106411738895</v>
      </c>
      <c r="CG67" s="32">
        <v>0</v>
      </c>
      <c r="CH67" s="32">
        <v>3.5820106411738895</v>
      </c>
      <c r="CI67" s="32">
        <v>0.17909970313088158</v>
      </c>
      <c r="CJ67" s="32">
        <v>0</v>
      </c>
      <c r="CK67" s="32">
        <v>0.17909970313088158</v>
      </c>
      <c r="CL67" s="32"/>
      <c r="CM67" s="32">
        <v>0</v>
      </c>
      <c r="CN67" s="32"/>
      <c r="CO67" s="32">
        <v>0</v>
      </c>
      <c r="CP67" s="32">
        <v>0</v>
      </c>
      <c r="CQ67" s="32">
        <v>0</v>
      </c>
      <c r="CR67" s="32">
        <v>0</v>
      </c>
      <c r="CS67" s="32">
        <v>0</v>
      </c>
      <c r="CT67" s="32">
        <v>0</v>
      </c>
      <c r="CU67" s="32">
        <v>0.4142902324894614</v>
      </c>
      <c r="CV67" s="32">
        <v>9999</v>
      </c>
      <c r="CW67" s="384">
        <v>0</v>
      </c>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row>
    <row r="68" spans="1:131">
      <c r="A68" s="11" t="s">
        <v>667</v>
      </c>
      <c r="B68" s="11" t="s">
        <v>955</v>
      </c>
      <c r="C68" s="32">
        <v>16.279069767441861</v>
      </c>
      <c r="D68" s="32">
        <v>597.70000000000005</v>
      </c>
      <c r="E68" s="32">
        <v>0</v>
      </c>
      <c r="F68" s="32">
        <v>67.011577212956723</v>
      </c>
      <c r="G68" s="32">
        <v>0</v>
      </c>
      <c r="H68" s="32">
        <v>0</v>
      </c>
      <c r="I68" s="32" t="s">
        <v>526</v>
      </c>
      <c r="J68" s="32"/>
      <c r="K68" s="32"/>
      <c r="L68" s="32">
        <v>676.26101827348168</v>
      </c>
      <c r="M68" s="32">
        <v>0.1580712483083227</v>
      </c>
      <c r="N68" s="32">
        <v>0.14997272135514486</v>
      </c>
      <c r="O68" s="32">
        <v>0</v>
      </c>
      <c r="P68" s="32">
        <v>0</v>
      </c>
      <c r="Q68" s="32">
        <v>0</v>
      </c>
      <c r="R68" s="32">
        <v>13.363003670563335</v>
      </c>
      <c r="S68" s="32">
        <v>3.3085573908521795</v>
      </c>
      <c r="T68" s="32">
        <v>27.602462112040847</v>
      </c>
      <c r="U68" s="32">
        <v>39.32555270935957</v>
      </c>
      <c r="V68" s="32" t="s">
        <v>611</v>
      </c>
      <c r="W68" s="32" t="s">
        <v>611</v>
      </c>
      <c r="X68" s="32" t="s">
        <v>611</v>
      </c>
      <c r="Y68" s="32" t="s">
        <v>611</v>
      </c>
      <c r="Z68" s="32">
        <v>0</v>
      </c>
      <c r="AA68" s="32">
        <v>0</v>
      </c>
      <c r="AB68" s="32">
        <v>0</v>
      </c>
      <c r="AC68" s="32">
        <v>0</v>
      </c>
      <c r="AD68" s="32">
        <v>0</v>
      </c>
      <c r="AE68" s="32">
        <v>0</v>
      </c>
      <c r="AF68" s="32">
        <v>0</v>
      </c>
      <c r="AG68" s="32">
        <v>0</v>
      </c>
      <c r="AH68" s="32">
        <v>13.363003670563335</v>
      </c>
      <c r="AI68" s="32">
        <v>3.3085573908521795</v>
      </c>
      <c r="AJ68" s="32">
        <v>27.602462112040847</v>
      </c>
      <c r="AK68" s="32">
        <v>39.32555270935957</v>
      </c>
      <c r="AL68" s="32">
        <v>83.599575882815941</v>
      </c>
      <c r="AM68" s="32">
        <v>324.34982748962744</v>
      </c>
      <c r="AN68" s="32">
        <v>55.854236106929704</v>
      </c>
      <c r="AO68" s="32">
        <v>38.020406359655716</v>
      </c>
      <c r="AP68" s="32">
        <v>0</v>
      </c>
      <c r="AQ68" s="32">
        <v>418.22446995621289</v>
      </c>
      <c r="AR68" s="32">
        <v>13.363003670563335</v>
      </c>
      <c r="AS68" s="383">
        <v>31.297190382241514</v>
      </c>
      <c r="AT68" s="32">
        <v>324.34982748962744</v>
      </c>
      <c r="AU68" s="32">
        <v>63.183525007839016</v>
      </c>
      <c r="AV68" s="32">
        <v>38.753335249746648</v>
      </c>
      <c r="AW68" s="32">
        <v>0</v>
      </c>
      <c r="AX68" s="32">
        <v>426.28668774721314</v>
      </c>
      <c r="AY68" s="32">
        <v>3.3085573908521795</v>
      </c>
      <c r="AZ68" s="383">
        <v>128.84367335620411</v>
      </c>
      <c r="BA68" s="32">
        <v>324.34982748962744</v>
      </c>
      <c r="BB68" s="32">
        <v>119.03776111476873</v>
      </c>
      <c r="BC68" s="32">
        <v>44.338758860439619</v>
      </c>
      <c r="BD68" s="32">
        <v>0</v>
      </c>
      <c r="BE68" s="32">
        <v>487.72634746483578</v>
      </c>
      <c r="BF68" s="32">
        <v>16.671561061415517</v>
      </c>
      <c r="BG68" s="32">
        <v>-15.962486920103693</v>
      </c>
      <c r="BH68" s="383">
        <v>29.25498971980641</v>
      </c>
      <c r="BI68" s="32">
        <v>1.4539847383755364</v>
      </c>
      <c r="BJ68" s="32">
        <v>0.35999331220237979</v>
      </c>
      <c r="BK68" s="32">
        <v>3.0033336547609046</v>
      </c>
      <c r="BL68" s="32">
        <v>4.2788848134156874</v>
      </c>
      <c r="BM68" s="32">
        <v>9.0961965187545104</v>
      </c>
      <c r="BN68" s="32">
        <v>324.34982748962744</v>
      </c>
      <c r="BO68" s="32">
        <v>0</v>
      </c>
      <c r="BP68" s="32">
        <v>119.03776111476873</v>
      </c>
      <c r="BQ68" s="32">
        <v>0</v>
      </c>
      <c r="BR68" s="32">
        <v>0</v>
      </c>
      <c r="BS68" s="32">
        <v>0</v>
      </c>
      <c r="BT68" s="32">
        <v>0</v>
      </c>
      <c r="BU68" s="32">
        <v>0</v>
      </c>
      <c r="BV68" s="32">
        <v>0</v>
      </c>
      <c r="BW68" s="32">
        <v>44.338758860439619</v>
      </c>
      <c r="BX68" s="32">
        <v>83.599575882815941</v>
      </c>
      <c r="BY68" s="32"/>
      <c r="BZ68" s="32">
        <v>0</v>
      </c>
      <c r="CA68" s="32">
        <v>0</v>
      </c>
      <c r="CB68" s="32">
        <v>487.72634746483578</v>
      </c>
      <c r="CC68" s="32">
        <v>83.599575882815941</v>
      </c>
      <c r="CD68" s="383">
        <v>5.8340768157543836</v>
      </c>
      <c r="CE68" s="32">
        <v>-8.6802684519271001</v>
      </c>
      <c r="CF68" s="32">
        <v>6.4245094080409224</v>
      </c>
      <c r="CG68" s="32">
        <v>0</v>
      </c>
      <c r="CH68" s="32">
        <v>6.4245094080409224</v>
      </c>
      <c r="CI68" s="32">
        <v>0.32122398367990379</v>
      </c>
      <c r="CJ68" s="32">
        <v>0</v>
      </c>
      <c r="CK68" s="32">
        <v>0.32122398367990379</v>
      </c>
      <c r="CL68" s="32"/>
      <c r="CM68" s="32">
        <v>0</v>
      </c>
      <c r="CN68" s="32"/>
      <c r="CO68" s="32">
        <v>0</v>
      </c>
      <c r="CP68" s="32">
        <v>0</v>
      </c>
      <c r="CQ68" s="32">
        <v>0</v>
      </c>
      <c r="CR68" s="32">
        <v>0</v>
      </c>
      <c r="CS68" s="32">
        <v>0</v>
      </c>
      <c r="CT68" s="32">
        <v>0</v>
      </c>
      <c r="CU68" s="32">
        <v>27.602462112040847</v>
      </c>
      <c r="CV68" s="32">
        <v>9999</v>
      </c>
      <c r="CW68" s="384">
        <v>0</v>
      </c>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row>
    <row r="69" spans="1:131">
      <c r="A69" s="11" t="s">
        <v>667</v>
      </c>
      <c r="B69" s="11" t="s">
        <v>956</v>
      </c>
      <c r="C69" s="32">
        <v>16.279069767441861</v>
      </c>
      <c r="D69" s="32">
        <v>597.70000000000005</v>
      </c>
      <c r="E69" s="32">
        <v>0</v>
      </c>
      <c r="F69" s="32">
        <v>67.011577212956723</v>
      </c>
      <c r="G69" s="32">
        <v>0</v>
      </c>
      <c r="H69" s="32">
        <v>0</v>
      </c>
      <c r="I69" s="32" t="s">
        <v>526</v>
      </c>
      <c r="J69" s="32"/>
      <c r="K69" s="32"/>
      <c r="L69" s="32">
        <v>676.26101827348168</v>
      </c>
      <c r="M69" s="32">
        <v>0.1580712483083227</v>
      </c>
      <c r="N69" s="32">
        <v>0.14997272135514486</v>
      </c>
      <c r="O69" s="32">
        <v>0</v>
      </c>
      <c r="P69" s="32">
        <v>0</v>
      </c>
      <c r="Q69" s="32">
        <v>0</v>
      </c>
      <c r="R69" s="32">
        <v>13.363003670563335</v>
      </c>
      <c r="S69" s="32">
        <v>3.3085573908521795</v>
      </c>
      <c r="T69" s="32">
        <v>27.602462112040847</v>
      </c>
      <c r="U69" s="32">
        <v>39.32555270935957</v>
      </c>
      <c r="V69" s="32" t="s">
        <v>611</v>
      </c>
      <c r="W69" s="32" t="s">
        <v>611</v>
      </c>
      <c r="X69" s="32" t="s">
        <v>611</v>
      </c>
      <c r="Y69" s="32" t="s">
        <v>611</v>
      </c>
      <c r="Z69" s="32">
        <v>0</v>
      </c>
      <c r="AA69" s="32">
        <v>0</v>
      </c>
      <c r="AB69" s="32">
        <v>0</v>
      </c>
      <c r="AC69" s="32">
        <v>0</v>
      </c>
      <c r="AD69" s="32">
        <v>0</v>
      </c>
      <c r="AE69" s="32">
        <v>0</v>
      </c>
      <c r="AF69" s="32">
        <v>0</v>
      </c>
      <c r="AG69" s="32">
        <v>0</v>
      </c>
      <c r="AH69" s="32">
        <v>13.363003670563335</v>
      </c>
      <c r="AI69" s="32">
        <v>3.3085573908521795</v>
      </c>
      <c r="AJ69" s="32">
        <v>27.602462112040847</v>
      </c>
      <c r="AK69" s="32">
        <v>39.32555270935957</v>
      </c>
      <c r="AL69" s="32">
        <v>83.599575882815941</v>
      </c>
      <c r="AM69" s="32">
        <v>324.34982748962744</v>
      </c>
      <c r="AN69" s="32">
        <v>55.854236106929704</v>
      </c>
      <c r="AO69" s="32">
        <v>38.020406359655716</v>
      </c>
      <c r="AP69" s="32">
        <v>0</v>
      </c>
      <c r="AQ69" s="32">
        <v>418.22446995621289</v>
      </c>
      <c r="AR69" s="32">
        <v>13.363003670563335</v>
      </c>
      <c r="AS69" s="383">
        <v>31.297190382241514</v>
      </c>
      <c r="AT69" s="32">
        <v>324.34982748962744</v>
      </c>
      <c r="AU69" s="32">
        <v>63.183525007839016</v>
      </c>
      <c r="AV69" s="32">
        <v>38.753335249746648</v>
      </c>
      <c r="AW69" s="32">
        <v>0</v>
      </c>
      <c r="AX69" s="32">
        <v>426.28668774721314</v>
      </c>
      <c r="AY69" s="32">
        <v>3.3085573908521795</v>
      </c>
      <c r="AZ69" s="383">
        <v>128.84367335620411</v>
      </c>
      <c r="BA69" s="32">
        <v>324.34982748962744</v>
      </c>
      <c r="BB69" s="32">
        <v>119.03776111476873</v>
      </c>
      <c r="BC69" s="32">
        <v>44.338758860439619</v>
      </c>
      <c r="BD69" s="32">
        <v>0</v>
      </c>
      <c r="BE69" s="32">
        <v>487.72634746483578</v>
      </c>
      <c r="BF69" s="32">
        <v>16.671561061415517</v>
      </c>
      <c r="BG69" s="32">
        <v>-15.962486920103693</v>
      </c>
      <c r="BH69" s="383">
        <v>29.25498971980641</v>
      </c>
      <c r="BI69" s="32">
        <v>1.4539847383755364</v>
      </c>
      <c r="BJ69" s="32">
        <v>0.35999331220237979</v>
      </c>
      <c r="BK69" s="32">
        <v>3.0033336547609046</v>
      </c>
      <c r="BL69" s="32">
        <v>4.2788848134156874</v>
      </c>
      <c r="BM69" s="32">
        <v>9.0961965187545104</v>
      </c>
      <c r="BN69" s="32">
        <v>324.34982748962744</v>
      </c>
      <c r="BO69" s="32">
        <v>0</v>
      </c>
      <c r="BP69" s="32">
        <v>119.03776111476873</v>
      </c>
      <c r="BQ69" s="32">
        <v>0</v>
      </c>
      <c r="BR69" s="32">
        <v>0</v>
      </c>
      <c r="BS69" s="32">
        <v>0</v>
      </c>
      <c r="BT69" s="32">
        <v>0</v>
      </c>
      <c r="BU69" s="32">
        <v>0</v>
      </c>
      <c r="BV69" s="32">
        <v>0</v>
      </c>
      <c r="BW69" s="32">
        <v>44.338758860439619</v>
      </c>
      <c r="BX69" s="32">
        <v>83.599575882815941</v>
      </c>
      <c r="BY69" s="32"/>
      <c r="BZ69" s="32">
        <v>0</v>
      </c>
      <c r="CA69" s="32">
        <v>0</v>
      </c>
      <c r="CB69" s="32">
        <v>487.72634746483578</v>
      </c>
      <c r="CC69" s="32">
        <v>83.599575882815941</v>
      </c>
      <c r="CD69" s="383">
        <v>5.8340768157543836</v>
      </c>
      <c r="CE69" s="32">
        <v>-8.6802684519271001</v>
      </c>
      <c r="CF69" s="32">
        <v>6.4245094080409224</v>
      </c>
      <c r="CG69" s="32">
        <v>0</v>
      </c>
      <c r="CH69" s="32">
        <v>6.4245094080409224</v>
      </c>
      <c r="CI69" s="32">
        <v>0.32122398367990379</v>
      </c>
      <c r="CJ69" s="32">
        <v>0</v>
      </c>
      <c r="CK69" s="32">
        <v>0.32122398367990379</v>
      </c>
      <c r="CL69" s="32"/>
      <c r="CM69" s="32">
        <v>0</v>
      </c>
      <c r="CN69" s="32"/>
      <c r="CO69" s="32">
        <v>0</v>
      </c>
      <c r="CP69" s="32">
        <v>0</v>
      </c>
      <c r="CQ69" s="32">
        <v>0</v>
      </c>
      <c r="CR69" s="32">
        <v>0</v>
      </c>
      <c r="CS69" s="32">
        <v>0</v>
      </c>
      <c r="CT69" s="32">
        <v>0</v>
      </c>
      <c r="CU69" s="32">
        <v>27.602462112040847</v>
      </c>
      <c r="CV69" s="32">
        <v>9999</v>
      </c>
      <c r="CW69" s="384">
        <v>0</v>
      </c>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row>
    <row r="70" spans="1:131">
      <c r="A70" s="11" t="s">
        <v>668</v>
      </c>
      <c r="B70" s="11" t="s">
        <v>872</v>
      </c>
      <c r="C70" s="32">
        <v>16.279069767441861</v>
      </c>
      <c r="D70" s="32">
        <v>1459.85</v>
      </c>
      <c r="E70" s="32">
        <v>0</v>
      </c>
      <c r="F70" s="32">
        <v>266.0347316388702</v>
      </c>
      <c r="G70" s="32">
        <v>0</v>
      </c>
      <c r="H70" s="32">
        <v>0</v>
      </c>
      <c r="I70" s="32" t="s">
        <v>526</v>
      </c>
      <c r="J70" s="32"/>
      <c r="K70" s="32"/>
      <c r="L70" s="32">
        <v>1651.7310482291152</v>
      </c>
      <c r="M70" s="32">
        <v>0.38608049496888885</v>
      </c>
      <c r="N70" s="32">
        <v>0.36630027985663072</v>
      </c>
      <c r="O70" s="32">
        <v>0</v>
      </c>
      <c r="P70" s="32">
        <v>0</v>
      </c>
      <c r="Q70" s="32">
        <v>0</v>
      </c>
      <c r="R70" s="32">
        <v>53.050879314331205</v>
      </c>
      <c r="S70" s="32">
        <v>13.134912118095537</v>
      </c>
      <c r="T70" s="32">
        <v>109.58126798318446</v>
      </c>
      <c r="U70" s="32">
        <v>156.12172249486898</v>
      </c>
      <c r="V70" s="32" t="s">
        <v>611</v>
      </c>
      <c r="W70" s="32" t="s">
        <v>611</v>
      </c>
      <c r="X70" s="32" t="s">
        <v>611</v>
      </c>
      <c r="Y70" s="32" t="s">
        <v>611</v>
      </c>
      <c r="Z70" s="32">
        <v>0</v>
      </c>
      <c r="AA70" s="32">
        <v>0</v>
      </c>
      <c r="AB70" s="32">
        <v>0</v>
      </c>
      <c r="AC70" s="32">
        <v>0</v>
      </c>
      <c r="AD70" s="32">
        <v>0</v>
      </c>
      <c r="AE70" s="32">
        <v>0</v>
      </c>
      <c r="AF70" s="32">
        <v>0</v>
      </c>
      <c r="AG70" s="32">
        <v>0</v>
      </c>
      <c r="AH70" s="32">
        <v>53.050879314331205</v>
      </c>
      <c r="AI70" s="32">
        <v>13.134912118095537</v>
      </c>
      <c r="AJ70" s="32">
        <v>109.58126798318446</v>
      </c>
      <c r="AK70" s="32">
        <v>156.12172249486898</v>
      </c>
      <c r="AL70" s="32">
        <v>331.88878191048013</v>
      </c>
      <c r="AM70" s="32">
        <v>792.20695275344133</v>
      </c>
      <c r="AN70" s="32">
        <v>136.42095797340019</v>
      </c>
      <c r="AO70" s="32">
        <v>92.862791072684161</v>
      </c>
      <c r="AP70" s="32">
        <v>0</v>
      </c>
      <c r="AQ70" s="32">
        <v>1021.4907017995256</v>
      </c>
      <c r="AR70" s="32">
        <v>53.050879314331205</v>
      </c>
      <c r="AS70" s="383">
        <v>19.254924989029906</v>
      </c>
      <c r="AT70" s="32">
        <v>792.20695275344133</v>
      </c>
      <c r="AU70" s="32">
        <v>154.32235064864273</v>
      </c>
      <c r="AV70" s="32">
        <v>94.652930340208414</v>
      </c>
      <c r="AW70" s="32">
        <v>0</v>
      </c>
      <c r="AX70" s="32">
        <v>1041.1822337422925</v>
      </c>
      <c r="AY70" s="32">
        <v>13.134912118095537</v>
      </c>
      <c r="AZ70" s="383">
        <v>79.268306051921726</v>
      </c>
      <c r="BA70" s="32">
        <v>792.20695275344133</v>
      </c>
      <c r="BB70" s="32">
        <v>290.74330862204295</v>
      </c>
      <c r="BC70" s="32">
        <v>108.29502613754843</v>
      </c>
      <c r="BD70" s="32">
        <v>0</v>
      </c>
      <c r="BE70" s="32">
        <v>1191.2452875130325</v>
      </c>
      <c r="BF70" s="32">
        <v>66.18579143242674</v>
      </c>
      <c r="BG70" s="32">
        <v>-14.828002879528855</v>
      </c>
      <c r="BH70" s="383">
        <v>17.99850484116746</v>
      </c>
      <c r="BI70" s="32">
        <v>2.3633245621958339</v>
      </c>
      <c r="BJ70" s="32">
        <v>0.58513752895690763</v>
      </c>
      <c r="BK70" s="32">
        <v>4.88165522472808</v>
      </c>
      <c r="BL70" s="32">
        <v>6.9549516658958153</v>
      </c>
      <c r="BM70" s="32">
        <v>14.785068981776634</v>
      </c>
      <c r="BN70" s="32">
        <v>792.20695275344133</v>
      </c>
      <c r="BO70" s="32">
        <v>0</v>
      </c>
      <c r="BP70" s="32">
        <v>290.74330862204295</v>
      </c>
      <c r="BQ70" s="32">
        <v>0</v>
      </c>
      <c r="BR70" s="32">
        <v>0</v>
      </c>
      <c r="BS70" s="32">
        <v>0</v>
      </c>
      <c r="BT70" s="32">
        <v>0</v>
      </c>
      <c r="BU70" s="32">
        <v>0</v>
      </c>
      <c r="BV70" s="32">
        <v>0</v>
      </c>
      <c r="BW70" s="32">
        <v>108.29502613754843</v>
      </c>
      <c r="BX70" s="32">
        <v>331.88878191048013</v>
      </c>
      <c r="BY70" s="32"/>
      <c r="BZ70" s="32">
        <v>0</v>
      </c>
      <c r="CA70" s="32">
        <v>0</v>
      </c>
      <c r="CB70" s="32">
        <v>1191.2452875130325</v>
      </c>
      <c r="CC70" s="32">
        <v>331.88878191048013</v>
      </c>
      <c r="CD70" s="383">
        <v>3.589290607099656</v>
      </c>
      <c r="CE70" s="32">
        <v>-2.9913959889049577</v>
      </c>
      <c r="CF70" s="32">
        <v>15.691517582948913</v>
      </c>
      <c r="CG70" s="32">
        <v>0</v>
      </c>
      <c r="CH70" s="32">
        <v>15.691517582948913</v>
      </c>
      <c r="CI70" s="32">
        <v>0.7845722479088294</v>
      </c>
      <c r="CJ70" s="32">
        <v>0</v>
      </c>
      <c r="CK70" s="32">
        <v>0.7845722479088294</v>
      </c>
      <c r="CL70" s="32"/>
      <c r="CM70" s="32">
        <v>0</v>
      </c>
      <c r="CN70" s="32"/>
      <c r="CO70" s="32">
        <v>0</v>
      </c>
      <c r="CP70" s="32">
        <v>0</v>
      </c>
      <c r="CQ70" s="32">
        <v>0</v>
      </c>
      <c r="CR70" s="32">
        <v>0</v>
      </c>
      <c r="CS70" s="32">
        <v>0</v>
      </c>
      <c r="CT70" s="32">
        <v>0</v>
      </c>
      <c r="CU70" s="32">
        <v>109.58126798318446</v>
      </c>
      <c r="CV70" s="32">
        <v>9999</v>
      </c>
      <c r="CW70" s="384">
        <v>0</v>
      </c>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row>
    <row r="71" spans="1:131">
      <c r="A71" s="11" t="s">
        <v>668</v>
      </c>
      <c r="B71" s="11" t="s">
        <v>873</v>
      </c>
      <c r="C71" s="32">
        <v>16.279069767441861</v>
      </c>
      <c r="D71" s="32">
        <v>1459.85</v>
      </c>
      <c r="E71" s="32">
        <v>0</v>
      </c>
      <c r="F71" s="32">
        <v>266.0347316388702</v>
      </c>
      <c r="G71" s="32">
        <v>0</v>
      </c>
      <c r="H71" s="32">
        <v>0</v>
      </c>
      <c r="I71" s="32" t="s">
        <v>526</v>
      </c>
      <c r="J71" s="32"/>
      <c r="K71" s="32"/>
      <c r="L71" s="32">
        <v>1651.7310482291152</v>
      </c>
      <c r="M71" s="32">
        <v>0.38608049496888885</v>
      </c>
      <c r="N71" s="32">
        <v>0.36630027985663072</v>
      </c>
      <c r="O71" s="32">
        <v>0</v>
      </c>
      <c r="P71" s="32">
        <v>0</v>
      </c>
      <c r="Q71" s="32">
        <v>0</v>
      </c>
      <c r="R71" s="32">
        <v>53.050879314331205</v>
      </c>
      <c r="S71" s="32">
        <v>13.134912118095537</v>
      </c>
      <c r="T71" s="32">
        <v>109.58126798318446</v>
      </c>
      <c r="U71" s="32">
        <v>156.12172249486898</v>
      </c>
      <c r="V71" s="32" t="s">
        <v>611</v>
      </c>
      <c r="W71" s="32" t="s">
        <v>611</v>
      </c>
      <c r="X71" s="32" t="s">
        <v>611</v>
      </c>
      <c r="Y71" s="32" t="s">
        <v>611</v>
      </c>
      <c r="Z71" s="32">
        <v>0</v>
      </c>
      <c r="AA71" s="32">
        <v>0</v>
      </c>
      <c r="AB71" s="32">
        <v>0</v>
      </c>
      <c r="AC71" s="32">
        <v>0</v>
      </c>
      <c r="AD71" s="32">
        <v>0</v>
      </c>
      <c r="AE71" s="32">
        <v>0</v>
      </c>
      <c r="AF71" s="32">
        <v>0</v>
      </c>
      <c r="AG71" s="32">
        <v>0</v>
      </c>
      <c r="AH71" s="32">
        <v>53.050879314331205</v>
      </c>
      <c r="AI71" s="32">
        <v>13.134912118095537</v>
      </c>
      <c r="AJ71" s="32">
        <v>109.58126798318446</v>
      </c>
      <c r="AK71" s="32">
        <v>156.12172249486898</v>
      </c>
      <c r="AL71" s="32">
        <v>331.88878191048013</v>
      </c>
      <c r="AM71" s="32">
        <v>792.20695275344133</v>
      </c>
      <c r="AN71" s="32">
        <v>136.42095797340019</v>
      </c>
      <c r="AO71" s="32">
        <v>92.862791072684161</v>
      </c>
      <c r="AP71" s="32">
        <v>0</v>
      </c>
      <c r="AQ71" s="32">
        <v>1021.4907017995256</v>
      </c>
      <c r="AR71" s="32">
        <v>53.050879314331205</v>
      </c>
      <c r="AS71" s="383">
        <v>19.254924989029906</v>
      </c>
      <c r="AT71" s="32">
        <v>792.20695275344133</v>
      </c>
      <c r="AU71" s="32">
        <v>154.32235064864273</v>
      </c>
      <c r="AV71" s="32">
        <v>94.652930340208414</v>
      </c>
      <c r="AW71" s="32">
        <v>0</v>
      </c>
      <c r="AX71" s="32">
        <v>1041.1822337422925</v>
      </c>
      <c r="AY71" s="32">
        <v>13.134912118095537</v>
      </c>
      <c r="AZ71" s="383">
        <v>79.268306051921726</v>
      </c>
      <c r="BA71" s="32">
        <v>792.20695275344133</v>
      </c>
      <c r="BB71" s="32">
        <v>290.74330862204295</v>
      </c>
      <c r="BC71" s="32">
        <v>108.29502613754843</v>
      </c>
      <c r="BD71" s="32">
        <v>0</v>
      </c>
      <c r="BE71" s="32">
        <v>1191.2452875130325</v>
      </c>
      <c r="BF71" s="32">
        <v>66.18579143242674</v>
      </c>
      <c r="BG71" s="32">
        <v>-14.828002879528855</v>
      </c>
      <c r="BH71" s="383">
        <v>17.99850484116746</v>
      </c>
      <c r="BI71" s="32">
        <v>2.3633245621958339</v>
      </c>
      <c r="BJ71" s="32">
        <v>0.58513752895690763</v>
      </c>
      <c r="BK71" s="32">
        <v>4.88165522472808</v>
      </c>
      <c r="BL71" s="32">
        <v>6.9549516658958153</v>
      </c>
      <c r="BM71" s="32">
        <v>14.785068981776634</v>
      </c>
      <c r="BN71" s="32">
        <v>792.20695275344133</v>
      </c>
      <c r="BO71" s="32">
        <v>0</v>
      </c>
      <c r="BP71" s="32">
        <v>290.74330862204295</v>
      </c>
      <c r="BQ71" s="32">
        <v>0</v>
      </c>
      <c r="BR71" s="32">
        <v>0</v>
      </c>
      <c r="BS71" s="32">
        <v>0</v>
      </c>
      <c r="BT71" s="32">
        <v>0</v>
      </c>
      <c r="BU71" s="32">
        <v>0</v>
      </c>
      <c r="BV71" s="32">
        <v>0</v>
      </c>
      <c r="BW71" s="32">
        <v>108.29502613754843</v>
      </c>
      <c r="BX71" s="32">
        <v>331.88878191048013</v>
      </c>
      <c r="BY71" s="32"/>
      <c r="BZ71" s="32">
        <v>0</v>
      </c>
      <c r="CA71" s="32">
        <v>0</v>
      </c>
      <c r="CB71" s="32">
        <v>1191.2452875130325</v>
      </c>
      <c r="CC71" s="32">
        <v>331.88878191048013</v>
      </c>
      <c r="CD71" s="383">
        <v>3.589290607099656</v>
      </c>
      <c r="CE71" s="32">
        <v>-2.9913959889049577</v>
      </c>
      <c r="CF71" s="32">
        <v>15.691517582948913</v>
      </c>
      <c r="CG71" s="32">
        <v>0</v>
      </c>
      <c r="CH71" s="32">
        <v>15.691517582948913</v>
      </c>
      <c r="CI71" s="32">
        <v>0.7845722479088294</v>
      </c>
      <c r="CJ71" s="32">
        <v>0</v>
      </c>
      <c r="CK71" s="32">
        <v>0.7845722479088294</v>
      </c>
      <c r="CL71" s="32"/>
      <c r="CM71" s="32">
        <v>0</v>
      </c>
      <c r="CN71" s="32"/>
      <c r="CO71" s="32">
        <v>0</v>
      </c>
      <c r="CP71" s="32">
        <v>0</v>
      </c>
      <c r="CQ71" s="32">
        <v>0</v>
      </c>
      <c r="CR71" s="32">
        <v>0</v>
      </c>
      <c r="CS71" s="32">
        <v>0</v>
      </c>
      <c r="CT71" s="32">
        <v>0</v>
      </c>
      <c r="CU71" s="32">
        <v>109.58126798318446</v>
      </c>
      <c r="CV71" s="32">
        <v>9999</v>
      </c>
      <c r="CW71" s="384">
        <v>0</v>
      </c>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row>
    <row r="72" spans="1:131">
      <c r="A72" s="11" t="s">
        <v>669</v>
      </c>
      <c r="B72" s="11" t="s">
        <v>531</v>
      </c>
      <c r="C72" s="32">
        <v>16.279069767441861</v>
      </c>
      <c r="D72" s="32">
        <v>84.924999999999983</v>
      </c>
      <c r="E72" s="32">
        <v>0</v>
      </c>
      <c r="F72" s="32">
        <v>28.35202601226743</v>
      </c>
      <c r="G72" s="32">
        <v>0</v>
      </c>
      <c r="H72" s="32">
        <v>0</v>
      </c>
      <c r="I72" s="32" t="s">
        <v>526</v>
      </c>
      <c r="J72" s="32"/>
      <c r="K72" s="32"/>
      <c r="L72" s="32">
        <v>96.087446841016259</v>
      </c>
      <c r="M72" s="32">
        <v>2.2459763698484694E-2</v>
      </c>
      <c r="N72" s="32">
        <v>2.130907371772741E-2</v>
      </c>
      <c r="O72" s="32">
        <v>0</v>
      </c>
      <c r="P72" s="32">
        <v>0</v>
      </c>
      <c r="Q72" s="32">
        <v>0</v>
      </c>
      <c r="R72" s="32">
        <v>5.6537727274471976</v>
      </c>
      <c r="S72" s="32">
        <v>1.3998223756235293</v>
      </c>
      <c r="T72" s="32">
        <v>11.678365983182603</v>
      </c>
      <c r="U72" s="32">
        <v>16.638305494874672</v>
      </c>
      <c r="V72" s="32" t="s">
        <v>611</v>
      </c>
      <c r="W72" s="32" t="s">
        <v>611</v>
      </c>
      <c r="X72" s="32" t="s">
        <v>611</v>
      </c>
      <c r="Y72" s="32" t="s">
        <v>611</v>
      </c>
      <c r="Z72" s="32">
        <v>0</v>
      </c>
      <c r="AA72" s="32">
        <v>0</v>
      </c>
      <c r="AB72" s="32">
        <v>0</v>
      </c>
      <c r="AC72" s="32">
        <v>0</v>
      </c>
      <c r="AD72" s="32">
        <v>0</v>
      </c>
      <c r="AE72" s="32">
        <v>0</v>
      </c>
      <c r="AF72" s="32">
        <v>0</v>
      </c>
      <c r="AG72" s="32">
        <v>0</v>
      </c>
      <c r="AH72" s="32">
        <v>5.6537727274471976</v>
      </c>
      <c r="AI72" s="32">
        <v>1.3998223756235293</v>
      </c>
      <c r="AJ72" s="32">
        <v>11.678365983182603</v>
      </c>
      <c r="AK72" s="32">
        <v>16.638305494874672</v>
      </c>
      <c r="AL72" s="32">
        <v>35.370266581128</v>
      </c>
      <c r="AM72" s="32">
        <v>46.085676927482965</v>
      </c>
      <c r="AN72" s="32">
        <v>7.9361234756248979</v>
      </c>
      <c r="AO72" s="32">
        <v>5.4021800403107862</v>
      </c>
      <c r="AP72" s="32">
        <v>0</v>
      </c>
      <c r="AQ72" s="32">
        <v>59.42398044341865</v>
      </c>
      <c r="AR72" s="32">
        <v>5.6537727274471976</v>
      </c>
      <c r="AS72" s="383">
        <v>10.510500387632291</v>
      </c>
      <c r="AT72" s="32">
        <v>46.085676927482965</v>
      </c>
      <c r="AU72" s="32">
        <v>8.9775152439195693</v>
      </c>
      <c r="AV72" s="32">
        <v>5.5063192171402537</v>
      </c>
      <c r="AW72" s="32">
        <v>0</v>
      </c>
      <c r="AX72" s="32">
        <v>60.569511388542786</v>
      </c>
      <c r="AY72" s="32">
        <v>1.3998223756235293</v>
      </c>
      <c r="AZ72" s="383">
        <v>43.269426495317333</v>
      </c>
      <c r="BA72" s="32">
        <v>46.085676927482965</v>
      </c>
      <c r="BB72" s="32">
        <v>16.913638719544466</v>
      </c>
      <c r="BC72" s="32">
        <v>6.2999315647027432</v>
      </c>
      <c r="BD72" s="32">
        <v>0</v>
      </c>
      <c r="BE72" s="32">
        <v>69.299247211730176</v>
      </c>
      <c r="BF72" s="32">
        <v>7.0535951030707267</v>
      </c>
      <c r="BG72" s="32">
        <v>-12.374969865372588</v>
      </c>
      <c r="BH72" s="383">
        <v>9.8246704267957341</v>
      </c>
      <c r="BI72" s="32">
        <v>4.3295405063073131</v>
      </c>
      <c r="BJ72" s="32">
        <v>1.0719545990016988</v>
      </c>
      <c r="BK72" s="32">
        <v>8.9430475912498064</v>
      </c>
      <c r="BL72" s="32">
        <v>12.741265181506751</v>
      </c>
      <c r="BM72" s="32">
        <v>27.08580787806557</v>
      </c>
      <c r="BN72" s="32">
        <v>46.085676927482965</v>
      </c>
      <c r="BO72" s="32">
        <v>0</v>
      </c>
      <c r="BP72" s="32">
        <v>16.913638719544466</v>
      </c>
      <c r="BQ72" s="32">
        <v>0</v>
      </c>
      <c r="BR72" s="32">
        <v>0</v>
      </c>
      <c r="BS72" s="32">
        <v>0</v>
      </c>
      <c r="BT72" s="32">
        <v>0</v>
      </c>
      <c r="BU72" s="32">
        <v>0</v>
      </c>
      <c r="BV72" s="32">
        <v>0</v>
      </c>
      <c r="BW72" s="32">
        <v>6.2999315647027432</v>
      </c>
      <c r="BX72" s="32">
        <v>35.370266581128</v>
      </c>
      <c r="BY72" s="32"/>
      <c r="BZ72" s="32">
        <v>0</v>
      </c>
      <c r="CA72" s="32">
        <v>0</v>
      </c>
      <c r="CB72" s="32">
        <v>69.299247211730176</v>
      </c>
      <c r="CC72" s="32">
        <v>35.370266581128</v>
      </c>
      <c r="CD72" s="383">
        <v>1.9592514818281062</v>
      </c>
      <c r="CE72" s="32">
        <v>9.3093429073839697</v>
      </c>
      <c r="CF72" s="32">
        <v>0.91283496984754209</v>
      </c>
      <c r="CG72" s="32">
        <v>0</v>
      </c>
      <c r="CH72" s="32">
        <v>0.91283496984754209</v>
      </c>
      <c r="CI72" s="32">
        <v>4.5641537249482722E-2</v>
      </c>
      <c r="CJ72" s="32">
        <v>0</v>
      </c>
      <c r="CK72" s="32">
        <v>4.5641537249482722E-2</v>
      </c>
      <c r="CL72" s="32"/>
      <c r="CM72" s="32">
        <v>0</v>
      </c>
      <c r="CN72" s="32"/>
      <c r="CO72" s="32">
        <v>0</v>
      </c>
      <c r="CP72" s="32">
        <v>0</v>
      </c>
      <c r="CQ72" s="32">
        <v>0</v>
      </c>
      <c r="CR72" s="32">
        <v>0</v>
      </c>
      <c r="CS72" s="32">
        <v>0</v>
      </c>
      <c r="CT72" s="32">
        <v>0</v>
      </c>
      <c r="CU72" s="32">
        <v>11.678365983182603</v>
      </c>
      <c r="CV72" s="32">
        <v>9999</v>
      </c>
      <c r="CW72" s="384">
        <v>0</v>
      </c>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row>
    <row r="73" spans="1:131">
      <c r="A73" s="11" t="s">
        <v>669</v>
      </c>
      <c r="B73" s="11" t="s">
        <v>532</v>
      </c>
      <c r="C73" s="32">
        <v>16.279069767441861</v>
      </c>
      <c r="D73" s="32">
        <v>84.924999999999983</v>
      </c>
      <c r="E73" s="32">
        <v>0</v>
      </c>
      <c r="F73" s="32">
        <v>28.35202601226743</v>
      </c>
      <c r="G73" s="32">
        <v>0</v>
      </c>
      <c r="H73" s="32">
        <v>0</v>
      </c>
      <c r="I73" s="32" t="s">
        <v>526</v>
      </c>
      <c r="J73" s="32"/>
      <c r="K73" s="32"/>
      <c r="L73" s="32">
        <v>96.087446841016259</v>
      </c>
      <c r="M73" s="32">
        <v>2.2459763698484694E-2</v>
      </c>
      <c r="N73" s="32">
        <v>2.130907371772741E-2</v>
      </c>
      <c r="O73" s="32">
        <v>0</v>
      </c>
      <c r="P73" s="32">
        <v>0</v>
      </c>
      <c r="Q73" s="32">
        <v>0</v>
      </c>
      <c r="R73" s="32">
        <v>5.6537727274471976</v>
      </c>
      <c r="S73" s="32">
        <v>1.3998223756235293</v>
      </c>
      <c r="T73" s="32">
        <v>11.678365983182603</v>
      </c>
      <c r="U73" s="32">
        <v>16.638305494874672</v>
      </c>
      <c r="V73" s="32" t="s">
        <v>611</v>
      </c>
      <c r="W73" s="32" t="s">
        <v>611</v>
      </c>
      <c r="X73" s="32" t="s">
        <v>611</v>
      </c>
      <c r="Y73" s="32" t="s">
        <v>611</v>
      </c>
      <c r="Z73" s="32">
        <v>0</v>
      </c>
      <c r="AA73" s="32">
        <v>0</v>
      </c>
      <c r="AB73" s="32">
        <v>0</v>
      </c>
      <c r="AC73" s="32">
        <v>0</v>
      </c>
      <c r="AD73" s="32">
        <v>0</v>
      </c>
      <c r="AE73" s="32">
        <v>0</v>
      </c>
      <c r="AF73" s="32">
        <v>0</v>
      </c>
      <c r="AG73" s="32">
        <v>0</v>
      </c>
      <c r="AH73" s="32">
        <v>5.6537727274471976</v>
      </c>
      <c r="AI73" s="32">
        <v>1.3998223756235293</v>
      </c>
      <c r="AJ73" s="32">
        <v>11.678365983182603</v>
      </c>
      <c r="AK73" s="32">
        <v>16.638305494874672</v>
      </c>
      <c r="AL73" s="32">
        <v>35.370266581128</v>
      </c>
      <c r="AM73" s="32">
        <v>46.085676927482965</v>
      </c>
      <c r="AN73" s="32">
        <v>7.9361234756248979</v>
      </c>
      <c r="AO73" s="32">
        <v>5.4021800403107862</v>
      </c>
      <c r="AP73" s="32">
        <v>0</v>
      </c>
      <c r="AQ73" s="32">
        <v>59.42398044341865</v>
      </c>
      <c r="AR73" s="32">
        <v>5.6537727274471976</v>
      </c>
      <c r="AS73" s="383">
        <v>10.510500387632291</v>
      </c>
      <c r="AT73" s="32">
        <v>46.085676927482965</v>
      </c>
      <c r="AU73" s="32">
        <v>8.9775152439195693</v>
      </c>
      <c r="AV73" s="32">
        <v>5.5063192171402537</v>
      </c>
      <c r="AW73" s="32">
        <v>0</v>
      </c>
      <c r="AX73" s="32">
        <v>60.569511388542786</v>
      </c>
      <c r="AY73" s="32">
        <v>1.3998223756235293</v>
      </c>
      <c r="AZ73" s="383">
        <v>43.269426495317333</v>
      </c>
      <c r="BA73" s="32">
        <v>46.085676927482965</v>
      </c>
      <c r="BB73" s="32">
        <v>16.913638719544466</v>
      </c>
      <c r="BC73" s="32">
        <v>6.2999315647027432</v>
      </c>
      <c r="BD73" s="32">
        <v>0</v>
      </c>
      <c r="BE73" s="32">
        <v>69.299247211730176</v>
      </c>
      <c r="BF73" s="32">
        <v>7.0535951030707267</v>
      </c>
      <c r="BG73" s="32">
        <v>-12.374969865372588</v>
      </c>
      <c r="BH73" s="383">
        <v>9.8246704267957341</v>
      </c>
      <c r="BI73" s="32">
        <v>4.3295405063073131</v>
      </c>
      <c r="BJ73" s="32">
        <v>1.0719545990016988</v>
      </c>
      <c r="BK73" s="32">
        <v>8.9430475912498064</v>
      </c>
      <c r="BL73" s="32">
        <v>12.741265181506751</v>
      </c>
      <c r="BM73" s="32">
        <v>27.08580787806557</v>
      </c>
      <c r="BN73" s="32">
        <v>46.085676927482965</v>
      </c>
      <c r="BO73" s="32">
        <v>0</v>
      </c>
      <c r="BP73" s="32">
        <v>16.913638719544466</v>
      </c>
      <c r="BQ73" s="32">
        <v>0</v>
      </c>
      <c r="BR73" s="32">
        <v>0</v>
      </c>
      <c r="BS73" s="32">
        <v>0</v>
      </c>
      <c r="BT73" s="32">
        <v>0</v>
      </c>
      <c r="BU73" s="32">
        <v>0</v>
      </c>
      <c r="BV73" s="32">
        <v>0</v>
      </c>
      <c r="BW73" s="32">
        <v>6.2999315647027432</v>
      </c>
      <c r="BX73" s="32">
        <v>35.370266581128</v>
      </c>
      <c r="BY73" s="32"/>
      <c r="BZ73" s="32">
        <v>0</v>
      </c>
      <c r="CA73" s="32">
        <v>0</v>
      </c>
      <c r="CB73" s="32">
        <v>69.299247211730176</v>
      </c>
      <c r="CC73" s="32">
        <v>35.370266581128</v>
      </c>
      <c r="CD73" s="383">
        <v>1.9592514818281062</v>
      </c>
      <c r="CE73" s="32">
        <v>9.3093429073839697</v>
      </c>
      <c r="CF73" s="32">
        <v>0.91283496984754209</v>
      </c>
      <c r="CG73" s="32">
        <v>0</v>
      </c>
      <c r="CH73" s="32">
        <v>0.91283496984754209</v>
      </c>
      <c r="CI73" s="32">
        <v>4.5641537249482722E-2</v>
      </c>
      <c r="CJ73" s="32">
        <v>0</v>
      </c>
      <c r="CK73" s="32">
        <v>4.5641537249482722E-2</v>
      </c>
      <c r="CL73" s="32"/>
      <c r="CM73" s="32">
        <v>0</v>
      </c>
      <c r="CN73" s="32"/>
      <c r="CO73" s="32">
        <v>0</v>
      </c>
      <c r="CP73" s="32">
        <v>0</v>
      </c>
      <c r="CQ73" s="32">
        <v>0</v>
      </c>
      <c r="CR73" s="32">
        <v>0</v>
      </c>
      <c r="CS73" s="32">
        <v>0</v>
      </c>
      <c r="CT73" s="32">
        <v>0</v>
      </c>
      <c r="CU73" s="32">
        <v>11.678365983182603</v>
      </c>
      <c r="CV73" s="32">
        <v>9999</v>
      </c>
      <c r="CW73" s="384">
        <v>0</v>
      </c>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row>
    <row r="74" spans="1:131">
      <c r="A74" s="11" t="s">
        <v>669</v>
      </c>
      <c r="B74" s="11" t="s">
        <v>533</v>
      </c>
      <c r="C74" s="32">
        <v>16.279069767441861</v>
      </c>
      <c r="D74" s="32">
        <v>67.724999999999994</v>
      </c>
      <c r="E74" s="32">
        <v>0</v>
      </c>
      <c r="F74" s="32">
        <v>28.35202601226743</v>
      </c>
      <c r="G74" s="32">
        <v>0</v>
      </c>
      <c r="H74" s="32">
        <v>0</v>
      </c>
      <c r="I74" s="32" t="s">
        <v>526</v>
      </c>
      <c r="J74" s="32"/>
      <c r="K74" s="32"/>
      <c r="L74" s="32">
        <v>76.626698113721829</v>
      </c>
      <c r="M74" s="32">
        <v>1.791095079752577E-2</v>
      </c>
      <c r="N74" s="32">
        <v>1.6993311952111734E-2</v>
      </c>
      <c r="O74" s="32">
        <v>0</v>
      </c>
      <c r="P74" s="32">
        <v>0</v>
      </c>
      <c r="Q74" s="32">
        <v>0</v>
      </c>
      <c r="R74" s="32">
        <v>5.6537727274471976</v>
      </c>
      <c r="S74" s="32">
        <v>1.3998223756235293</v>
      </c>
      <c r="T74" s="32">
        <v>11.678365983182603</v>
      </c>
      <c r="U74" s="32">
        <v>16.638305494874672</v>
      </c>
      <c r="V74" s="32" t="s">
        <v>611</v>
      </c>
      <c r="W74" s="32" t="s">
        <v>611</v>
      </c>
      <c r="X74" s="32" t="s">
        <v>611</v>
      </c>
      <c r="Y74" s="32" t="s">
        <v>611</v>
      </c>
      <c r="Z74" s="32">
        <v>0</v>
      </c>
      <c r="AA74" s="32">
        <v>0</v>
      </c>
      <c r="AB74" s="32">
        <v>0</v>
      </c>
      <c r="AC74" s="32">
        <v>0</v>
      </c>
      <c r="AD74" s="32">
        <v>0</v>
      </c>
      <c r="AE74" s="32">
        <v>0</v>
      </c>
      <c r="AF74" s="32">
        <v>0</v>
      </c>
      <c r="AG74" s="32">
        <v>0</v>
      </c>
      <c r="AH74" s="32">
        <v>5.6537727274471976</v>
      </c>
      <c r="AI74" s="32">
        <v>1.3998223756235293</v>
      </c>
      <c r="AJ74" s="32">
        <v>11.678365983182603</v>
      </c>
      <c r="AK74" s="32">
        <v>16.638305494874672</v>
      </c>
      <c r="AL74" s="32">
        <v>35.370266581128</v>
      </c>
      <c r="AM74" s="32">
        <v>36.751868942169999</v>
      </c>
      <c r="AN74" s="32">
        <v>6.3288073286628945</v>
      </c>
      <c r="AO74" s="32">
        <v>4.3080676270832896</v>
      </c>
      <c r="AP74" s="32">
        <v>0</v>
      </c>
      <c r="AQ74" s="32">
        <v>47.388743897916186</v>
      </c>
      <c r="AR74" s="32">
        <v>5.6537727274471976</v>
      </c>
      <c r="AS74" s="383">
        <v>8.381791448365</v>
      </c>
      <c r="AT74" s="32">
        <v>36.751868942169999</v>
      </c>
      <c r="AU74" s="32">
        <v>7.1592843084421878</v>
      </c>
      <c r="AV74" s="32">
        <v>4.3911153250612189</v>
      </c>
      <c r="AW74" s="32">
        <v>0</v>
      </c>
      <c r="AX74" s="32">
        <v>48.302268575673409</v>
      </c>
      <c r="AY74" s="32">
        <v>1.3998223756235293</v>
      </c>
      <c r="AZ74" s="383">
        <v>34.505998344367022</v>
      </c>
      <c r="BA74" s="32">
        <v>36.751868942169999</v>
      </c>
      <c r="BB74" s="32">
        <v>13.488091637105082</v>
      </c>
      <c r="BC74" s="32">
        <v>5.0239960579275085</v>
      </c>
      <c r="BD74" s="32">
        <v>0</v>
      </c>
      <c r="BE74" s="32">
        <v>55.263956637202597</v>
      </c>
      <c r="BF74" s="32">
        <v>7.0535951030707267</v>
      </c>
      <c r="BG74" s="32">
        <v>-11.0031615846592</v>
      </c>
      <c r="BH74" s="383">
        <v>7.8348637580776179</v>
      </c>
      <c r="BI74" s="32">
        <v>5.4291063491790119</v>
      </c>
      <c r="BJ74" s="32">
        <v>1.3441970368434002</v>
      </c>
      <c r="BK74" s="32">
        <v>11.21429777315452</v>
      </c>
      <c r="BL74" s="32">
        <v>15.977142053000531</v>
      </c>
      <c r="BM74" s="32">
        <v>33.964743212177467</v>
      </c>
      <c r="BN74" s="32">
        <v>36.751868942169999</v>
      </c>
      <c r="BO74" s="32">
        <v>0</v>
      </c>
      <c r="BP74" s="32">
        <v>13.488091637105082</v>
      </c>
      <c r="BQ74" s="32">
        <v>0</v>
      </c>
      <c r="BR74" s="32">
        <v>0</v>
      </c>
      <c r="BS74" s="32">
        <v>0</v>
      </c>
      <c r="BT74" s="32">
        <v>0</v>
      </c>
      <c r="BU74" s="32">
        <v>0</v>
      </c>
      <c r="BV74" s="32">
        <v>0</v>
      </c>
      <c r="BW74" s="32">
        <v>5.0239960579275085</v>
      </c>
      <c r="BX74" s="32">
        <v>35.370266581128</v>
      </c>
      <c r="BY74" s="32"/>
      <c r="BZ74" s="32">
        <v>0</v>
      </c>
      <c r="CA74" s="32">
        <v>0</v>
      </c>
      <c r="CB74" s="32">
        <v>55.26395663720259</v>
      </c>
      <c r="CC74" s="32">
        <v>35.370266581128</v>
      </c>
      <c r="CD74" s="383">
        <v>1.5624410551287442</v>
      </c>
      <c r="CE74" s="32">
        <v>16.188278241495855</v>
      </c>
      <c r="CF74" s="32">
        <v>0.72795700127082397</v>
      </c>
      <c r="CG74" s="32">
        <v>0</v>
      </c>
      <c r="CH74" s="32">
        <v>0.72795700127082397</v>
      </c>
      <c r="CI74" s="32">
        <v>3.6397681604017865E-2</v>
      </c>
      <c r="CJ74" s="32">
        <v>0</v>
      </c>
      <c r="CK74" s="32">
        <v>3.6397681604017865E-2</v>
      </c>
      <c r="CL74" s="32"/>
      <c r="CM74" s="32">
        <v>0</v>
      </c>
      <c r="CN74" s="32"/>
      <c r="CO74" s="32">
        <v>0</v>
      </c>
      <c r="CP74" s="32">
        <v>0</v>
      </c>
      <c r="CQ74" s="32">
        <v>0</v>
      </c>
      <c r="CR74" s="32">
        <v>0</v>
      </c>
      <c r="CS74" s="32">
        <v>0</v>
      </c>
      <c r="CT74" s="32">
        <v>0</v>
      </c>
      <c r="CU74" s="32">
        <v>11.678365983182603</v>
      </c>
      <c r="CV74" s="32">
        <v>9999</v>
      </c>
      <c r="CW74" s="384">
        <v>0</v>
      </c>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row>
    <row r="75" spans="1:131">
      <c r="A75" s="11" t="s">
        <v>669</v>
      </c>
      <c r="B75" s="11" t="s">
        <v>534</v>
      </c>
      <c r="C75" s="32">
        <v>16.279069767441861</v>
      </c>
      <c r="D75" s="32">
        <v>67.724999999999994</v>
      </c>
      <c r="E75" s="32">
        <v>0</v>
      </c>
      <c r="F75" s="32">
        <v>28.35202601226743</v>
      </c>
      <c r="G75" s="32">
        <v>0</v>
      </c>
      <c r="H75" s="32">
        <v>0</v>
      </c>
      <c r="I75" s="32" t="s">
        <v>526</v>
      </c>
      <c r="J75" s="32"/>
      <c r="K75" s="32"/>
      <c r="L75" s="32">
        <v>76.626698113721829</v>
      </c>
      <c r="M75" s="32">
        <v>1.791095079752577E-2</v>
      </c>
      <c r="N75" s="32">
        <v>1.6993311952111734E-2</v>
      </c>
      <c r="O75" s="32">
        <v>0</v>
      </c>
      <c r="P75" s="32">
        <v>0</v>
      </c>
      <c r="Q75" s="32">
        <v>0</v>
      </c>
      <c r="R75" s="32">
        <v>5.6537727274471976</v>
      </c>
      <c r="S75" s="32">
        <v>1.3998223756235293</v>
      </c>
      <c r="T75" s="32">
        <v>11.678365983182603</v>
      </c>
      <c r="U75" s="32">
        <v>16.638305494874672</v>
      </c>
      <c r="V75" s="32" t="s">
        <v>611</v>
      </c>
      <c r="W75" s="32" t="s">
        <v>611</v>
      </c>
      <c r="X75" s="32" t="s">
        <v>611</v>
      </c>
      <c r="Y75" s="32" t="s">
        <v>611</v>
      </c>
      <c r="Z75" s="32">
        <v>0</v>
      </c>
      <c r="AA75" s="32">
        <v>0</v>
      </c>
      <c r="AB75" s="32">
        <v>0</v>
      </c>
      <c r="AC75" s="32">
        <v>0</v>
      </c>
      <c r="AD75" s="32">
        <v>0</v>
      </c>
      <c r="AE75" s="32">
        <v>0</v>
      </c>
      <c r="AF75" s="32">
        <v>0</v>
      </c>
      <c r="AG75" s="32">
        <v>0</v>
      </c>
      <c r="AH75" s="32">
        <v>5.6537727274471976</v>
      </c>
      <c r="AI75" s="32">
        <v>1.3998223756235293</v>
      </c>
      <c r="AJ75" s="32">
        <v>11.678365983182603</v>
      </c>
      <c r="AK75" s="32">
        <v>16.638305494874672</v>
      </c>
      <c r="AL75" s="32">
        <v>35.370266581128</v>
      </c>
      <c r="AM75" s="32">
        <v>36.751868942169999</v>
      </c>
      <c r="AN75" s="32">
        <v>6.3288073286628945</v>
      </c>
      <c r="AO75" s="32">
        <v>4.3080676270832896</v>
      </c>
      <c r="AP75" s="32">
        <v>0</v>
      </c>
      <c r="AQ75" s="32">
        <v>47.388743897916186</v>
      </c>
      <c r="AR75" s="32">
        <v>5.6537727274471976</v>
      </c>
      <c r="AS75" s="383">
        <v>8.381791448365</v>
      </c>
      <c r="AT75" s="32">
        <v>36.751868942169999</v>
      </c>
      <c r="AU75" s="32">
        <v>7.1592843084421878</v>
      </c>
      <c r="AV75" s="32">
        <v>4.3911153250612189</v>
      </c>
      <c r="AW75" s="32">
        <v>0</v>
      </c>
      <c r="AX75" s="32">
        <v>48.302268575673409</v>
      </c>
      <c r="AY75" s="32">
        <v>1.3998223756235293</v>
      </c>
      <c r="AZ75" s="383">
        <v>34.505998344367022</v>
      </c>
      <c r="BA75" s="32">
        <v>36.751868942169999</v>
      </c>
      <c r="BB75" s="32">
        <v>13.488091637105082</v>
      </c>
      <c r="BC75" s="32">
        <v>5.0239960579275085</v>
      </c>
      <c r="BD75" s="32">
        <v>0</v>
      </c>
      <c r="BE75" s="32">
        <v>55.263956637202597</v>
      </c>
      <c r="BF75" s="32">
        <v>7.0535951030707267</v>
      </c>
      <c r="BG75" s="32">
        <v>-11.0031615846592</v>
      </c>
      <c r="BH75" s="383">
        <v>7.8348637580776179</v>
      </c>
      <c r="BI75" s="32">
        <v>5.4291063491790119</v>
      </c>
      <c r="BJ75" s="32">
        <v>1.3441970368434002</v>
      </c>
      <c r="BK75" s="32">
        <v>11.21429777315452</v>
      </c>
      <c r="BL75" s="32">
        <v>15.977142053000531</v>
      </c>
      <c r="BM75" s="32">
        <v>33.964743212177467</v>
      </c>
      <c r="BN75" s="32">
        <v>36.751868942169999</v>
      </c>
      <c r="BO75" s="32">
        <v>0</v>
      </c>
      <c r="BP75" s="32">
        <v>13.488091637105082</v>
      </c>
      <c r="BQ75" s="32">
        <v>0</v>
      </c>
      <c r="BR75" s="32">
        <v>0</v>
      </c>
      <c r="BS75" s="32">
        <v>0</v>
      </c>
      <c r="BT75" s="32">
        <v>0</v>
      </c>
      <c r="BU75" s="32">
        <v>0</v>
      </c>
      <c r="BV75" s="32">
        <v>0</v>
      </c>
      <c r="BW75" s="32">
        <v>5.0239960579275085</v>
      </c>
      <c r="BX75" s="32">
        <v>35.370266581128</v>
      </c>
      <c r="BY75" s="32"/>
      <c r="BZ75" s="32">
        <v>0</v>
      </c>
      <c r="CA75" s="32">
        <v>0</v>
      </c>
      <c r="CB75" s="32">
        <v>55.26395663720259</v>
      </c>
      <c r="CC75" s="32">
        <v>35.370266581128</v>
      </c>
      <c r="CD75" s="383">
        <v>1.5624410551287442</v>
      </c>
      <c r="CE75" s="32">
        <v>16.188278241495855</v>
      </c>
      <c r="CF75" s="32">
        <v>0.72795700127082397</v>
      </c>
      <c r="CG75" s="32">
        <v>0</v>
      </c>
      <c r="CH75" s="32">
        <v>0.72795700127082397</v>
      </c>
      <c r="CI75" s="32">
        <v>3.6397681604017865E-2</v>
      </c>
      <c r="CJ75" s="32">
        <v>0</v>
      </c>
      <c r="CK75" s="32">
        <v>3.6397681604017865E-2</v>
      </c>
      <c r="CL75" s="32"/>
      <c r="CM75" s="32">
        <v>0</v>
      </c>
      <c r="CN75" s="32"/>
      <c r="CO75" s="32">
        <v>0</v>
      </c>
      <c r="CP75" s="32">
        <v>0</v>
      </c>
      <c r="CQ75" s="32">
        <v>0</v>
      </c>
      <c r="CR75" s="32">
        <v>0</v>
      </c>
      <c r="CS75" s="32">
        <v>0</v>
      </c>
      <c r="CT75" s="32">
        <v>0</v>
      </c>
      <c r="CU75" s="32">
        <v>11.678365983182603</v>
      </c>
      <c r="CV75" s="32">
        <v>9999</v>
      </c>
      <c r="CW75" s="384">
        <v>0</v>
      </c>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row>
    <row r="76" spans="1:131">
      <c r="A76" s="11" t="s">
        <v>670</v>
      </c>
      <c r="B76" s="11" t="s">
        <v>844</v>
      </c>
      <c r="C76" s="32">
        <v>16.279069767441861</v>
      </c>
      <c r="D76" s="32">
        <v>204.25</v>
      </c>
      <c r="E76" s="32">
        <v>0</v>
      </c>
      <c r="F76" s="32">
        <v>81.005788606478362</v>
      </c>
      <c r="G76" s="32">
        <v>0</v>
      </c>
      <c r="H76" s="32">
        <v>0</v>
      </c>
      <c r="I76" s="32" t="s">
        <v>526</v>
      </c>
      <c r="J76" s="32"/>
      <c r="K76" s="32"/>
      <c r="L76" s="32">
        <v>231.09639113662143</v>
      </c>
      <c r="M76" s="32">
        <v>5.4017153198887245E-2</v>
      </c>
      <c r="N76" s="32">
        <v>5.1249670966686187E-2</v>
      </c>
      <c r="O76" s="32">
        <v>0</v>
      </c>
      <c r="P76" s="32">
        <v>0</v>
      </c>
      <c r="Q76" s="32">
        <v>0</v>
      </c>
      <c r="R76" s="32">
        <v>16.153636364134851</v>
      </c>
      <c r="S76" s="32">
        <v>3.9994925017815115</v>
      </c>
      <c r="T76" s="32">
        <v>33.366759951950286</v>
      </c>
      <c r="U76" s="32">
        <v>47.538015699641917</v>
      </c>
      <c r="V76" s="32" t="s">
        <v>611</v>
      </c>
      <c r="W76" s="32" t="s">
        <v>611</v>
      </c>
      <c r="X76" s="32" t="s">
        <v>611</v>
      </c>
      <c r="Y76" s="32" t="s">
        <v>611</v>
      </c>
      <c r="Z76" s="32">
        <v>0</v>
      </c>
      <c r="AA76" s="32">
        <v>0</v>
      </c>
      <c r="AB76" s="32">
        <v>0</v>
      </c>
      <c r="AC76" s="32">
        <v>0</v>
      </c>
      <c r="AD76" s="32">
        <v>0</v>
      </c>
      <c r="AE76" s="32">
        <v>0</v>
      </c>
      <c r="AF76" s="32">
        <v>0</v>
      </c>
      <c r="AG76" s="32">
        <v>0</v>
      </c>
      <c r="AH76" s="32">
        <v>16.153636364134851</v>
      </c>
      <c r="AI76" s="32">
        <v>3.9994925017815115</v>
      </c>
      <c r="AJ76" s="32">
        <v>33.366759951950286</v>
      </c>
      <c r="AK76" s="32">
        <v>47.538015699641917</v>
      </c>
      <c r="AL76" s="32">
        <v>101.05790451750856</v>
      </c>
      <c r="AM76" s="32">
        <v>110.83896982559205</v>
      </c>
      <c r="AN76" s="32">
        <v>19.086879245173812</v>
      </c>
      <c r="AO76" s="32">
        <v>12.992584907076587</v>
      </c>
      <c r="AP76" s="32">
        <v>0</v>
      </c>
      <c r="AQ76" s="32">
        <v>142.91843397784243</v>
      </c>
      <c r="AR76" s="32">
        <v>16.153636364134851</v>
      </c>
      <c r="AS76" s="383">
        <v>8.8474465288297193</v>
      </c>
      <c r="AT76" s="32">
        <v>110.83896982559205</v>
      </c>
      <c r="AU76" s="32">
        <v>21.591492358793907</v>
      </c>
      <c r="AV76" s="32">
        <v>13.243046218438597</v>
      </c>
      <c r="AW76" s="32">
        <v>0</v>
      </c>
      <c r="AX76" s="32">
        <v>145.67350840282455</v>
      </c>
      <c r="AY76" s="32">
        <v>3.9994925017815115</v>
      </c>
      <c r="AZ76" s="383">
        <v>36.422998252387416</v>
      </c>
      <c r="BA76" s="32">
        <v>110.83896982559205</v>
      </c>
      <c r="BB76" s="32">
        <v>40.678371603967719</v>
      </c>
      <c r="BC76" s="32">
        <v>15.151734142955977</v>
      </c>
      <c r="BD76" s="32">
        <v>0</v>
      </c>
      <c r="BE76" s="32">
        <v>166.66907557251574</v>
      </c>
      <c r="BF76" s="32">
        <v>20.153128865916361</v>
      </c>
      <c r="BG76" s="32">
        <v>-11.359651236555111</v>
      </c>
      <c r="BH76" s="383">
        <v>8.2701339668597065</v>
      </c>
      <c r="BI76" s="32">
        <v>5.1433639097485369</v>
      </c>
      <c r="BJ76" s="32">
        <v>1.2734498243779575</v>
      </c>
      <c r="BK76" s="32">
        <v>10.624071574567434</v>
      </c>
      <c r="BL76" s="32">
        <v>15.136239839684709</v>
      </c>
      <c r="BM76" s="32">
        <v>32.177125148378636</v>
      </c>
      <c r="BN76" s="32">
        <v>110.83896982559205</v>
      </c>
      <c r="BO76" s="32">
        <v>0</v>
      </c>
      <c r="BP76" s="32">
        <v>40.678371603967719</v>
      </c>
      <c r="BQ76" s="32">
        <v>0</v>
      </c>
      <c r="BR76" s="32">
        <v>0</v>
      </c>
      <c r="BS76" s="32">
        <v>0</v>
      </c>
      <c r="BT76" s="32">
        <v>0</v>
      </c>
      <c r="BU76" s="32">
        <v>0</v>
      </c>
      <c r="BV76" s="32">
        <v>0</v>
      </c>
      <c r="BW76" s="32">
        <v>15.151734142955977</v>
      </c>
      <c r="BX76" s="32">
        <v>101.05790451750856</v>
      </c>
      <c r="BY76" s="32"/>
      <c r="BZ76" s="32">
        <v>0</v>
      </c>
      <c r="CA76" s="32">
        <v>0</v>
      </c>
      <c r="CB76" s="32">
        <v>166.66907557251574</v>
      </c>
      <c r="CC76" s="32">
        <v>101.05790451750856</v>
      </c>
      <c r="CD76" s="383">
        <v>1.64924333596923</v>
      </c>
      <c r="CE76" s="32">
        <v>14.400660177697036</v>
      </c>
      <c r="CF76" s="32">
        <v>2.1954258768485122</v>
      </c>
      <c r="CG76" s="32">
        <v>0</v>
      </c>
      <c r="CH76" s="32">
        <v>2.1954258768485122</v>
      </c>
      <c r="CI76" s="32">
        <v>0.10977078578989516</v>
      </c>
      <c r="CJ76" s="32">
        <v>0</v>
      </c>
      <c r="CK76" s="32">
        <v>0.10977078578989516</v>
      </c>
      <c r="CL76" s="32"/>
      <c r="CM76" s="32">
        <v>0</v>
      </c>
      <c r="CN76" s="32"/>
      <c r="CO76" s="32">
        <v>0</v>
      </c>
      <c r="CP76" s="32">
        <v>0</v>
      </c>
      <c r="CQ76" s="32">
        <v>0</v>
      </c>
      <c r="CR76" s="32">
        <v>0</v>
      </c>
      <c r="CS76" s="32">
        <v>0</v>
      </c>
      <c r="CT76" s="32">
        <v>0</v>
      </c>
      <c r="CU76" s="32">
        <v>33.366759951950286</v>
      </c>
      <c r="CV76" s="32">
        <v>9999</v>
      </c>
      <c r="CW76" s="384">
        <v>0</v>
      </c>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row>
    <row r="77" spans="1:131">
      <c r="A77" s="11" t="s">
        <v>670</v>
      </c>
      <c r="B77" s="11" t="s">
        <v>845</v>
      </c>
      <c r="C77" s="32">
        <v>16.279069767441861</v>
      </c>
      <c r="D77" s="32">
        <v>204.25</v>
      </c>
      <c r="E77" s="32">
        <v>0</v>
      </c>
      <c r="F77" s="32">
        <v>81.005788606478362</v>
      </c>
      <c r="G77" s="32">
        <v>0</v>
      </c>
      <c r="H77" s="32">
        <v>0</v>
      </c>
      <c r="I77" s="32" t="s">
        <v>526</v>
      </c>
      <c r="J77" s="32"/>
      <c r="K77" s="32"/>
      <c r="L77" s="32">
        <v>231.09639113662143</v>
      </c>
      <c r="M77" s="32">
        <v>5.4017153198887245E-2</v>
      </c>
      <c r="N77" s="32">
        <v>5.1249670966686187E-2</v>
      </c>
      <c r="O77" s="32">
        <v>0</v>
      </c>
      <c r="P77" s="32">
        <v>0</v>
      </c>
      <c r="Q77" s="32">
        <v>0</v>
      </c>
      <c r="R77" s="32">
        <v>16.153636364134851</v>
      </c>
      <c r="S77" s="32">
        <v>3.9994925017815115</v>
      </c>
      <c r="T77" s="32">
        <v>33.366759951950286</v>
      </c>
      <c r="U77" s="32">
        <v>47.538015699641917</v>
      </c>
      <c r="V77" s="32" t="s">
        <v>611</v>
      </c>
      <c r="W77" s="32" t="s">
        <v>611</v>
      </c>
      <c r="X77" s="32" t="s">
        <v>611</v>
      </c>
      <c r="Y77" s="32" t="s">
        <v>611</v>
      </c>
      <c r="Z77" s="32">
        <v>0</v>
      </c>
      <c r="AA77" s="32">
        <v>0</v>
      </c>
      <c r="AB77" s="32">
        <v>0</v>
      </c>
      <c r="AC77" s="32">
        <v>0</v>
      </c>
      <c r="AD77" s="32">
        <v>0</v>
      </c>
      <c r="AE77" s="32">
        <v>0</v>
      </c>
      <c r="AF77" s="32">
        <v>0</v>
      </c>
      <c r="AG77" s="32">
        <v>0</v>
      </c>
      <c r="AH77" s="32">
        <v>16.153636364134851</v>
      </c>
      <c r="AI77" s="32">
        <v>3.9994925017815115</v>
      </c>
      <c r="AJ77" s="32">
        <v>33.366759951950286</v>
      </c>
      <c r="AK77" s="32">
        <v>47.538015699641917</v>
      </c>
      <c r="AL77" s="32">
        <v>101.05790451750856</v>
      </c>
      <c r="AM77" s="32">
        <v>110.83896982559205</v>
      </c>
      <c r="AN77" s="32">
        <v>19.086879245173812</v>
      </c>
      <c r="AO77" s="32">
        <v>12.992584907076587</v>
      </c>
      <c r="AP77" s="32">
        <v>0</v>
      </c>
      <c r="AQ77" s="32">
        <v>142.91843397784243</v>
      </c>
      <c r="AR77" s="32">
        <v>16.153636364134851</v>
      </c>
      <c r="AS77" s="383">
        <v>8.8474465288297193</v>
      </c>
      <c r="AT77" s="32">
        <v>110.83896982559205</v>
      </c>
      <c r="AU77" s="32">
        <v>21.591492358793907</v>
      </c>
      <c r="AV77" s="32">
        <v>13.243046218438597</v>
      </c>
      <c r="AW77" s="32">
        <v>0</v>
      </c>
      <c r="AX77" s="32">
        <v>145.67350840282455</v>
      </c>
      <c r="AY77" s="32">
        <v>3.9994925017815115</v>
      </c>
      <c r="AZ77" s="383">
        <v>36.422998252387416</v>
      </c>
      <c r="BA77" s="32">
        <v>110.83896982559205</v>
      </c>
      <c r="BB77" s="32">
        <v>40.678371603967719</v>
      </c>
      <c r="BC77" s="32">
        <v>15.151734142955977</v>
      </c>
      <c r="BD77" s="32">
        <v>0</v>
      </c>
      <c r="BE77" s="32">
        <v>166.66907557251574</v>
      </c>
      <c r="BF77" s="32">
        <v>20.153128865916361</v>
      </c>
      <c r="BG77" s="32">
        <v>-11.359651236555111</v>
      </c>
      <c r="BH77" s="383">
        <v>8.2701339668597065</v>
      </c>
      <c r="BI77" s="32">
        <v>5.1433639097485369</v>
      </c>
      <c r="BJ77" s="32">
        <v>1.2734498243779575</v>
      </c>
      <c r="BK77" s="32">
        <v>10.624071574567434</v>
      </c>
      <c r="BL77" s="32">
        <v>15.136239839684709</v>
      </c>
      <c r="BM77" s="32">
        <v>32.177125148378636</v>
      </c>
      <c r="BN77" s="32">
        <v>110.83896982559205</v>
      </c>
      <c r="BO77" s="32">
        <v>0</v>
      </c>
      <c r="BP77" s="32">
        <v>40.678371603967719</v>
      </c>
      <c r="BQ77" s="32">
        <v>0</v>
      </c>
      <c r="BR77" s="32">
        <v>0</v>
      </c>
      <c r="BS77" s="32">
        <v>0</v>
      </c>
      <c r="BT77" s="32">
        <v>0</v>
      </c>
      <c r="BU77" s="32">
        <v>0</v>
      </c>
      <c r="BV77" s="32">
        <v>0</v>
      </c>
      <c r="BW77" s="32">
        <v>15.151734142955977</v>
      </c>
      <c r="BX77" s="32">
        <v>101.05790451750856</v>
      </c>
      <c r="BY77" s="32"/>
      <c r="BZ77" s="32">
        <v>0</v>
      </c>
      <c r="CA77" s="32">
        <v>0</v>
      </c>
      <c r="CB77" s="32">
        <v>166.66907557251574</v>
      </c>
      <c r="CC77" s="32">
        <v>101.05790451750856</v>
      </c>
      <c r="CD77" s="383">
        <v>1.64924333596923</v>
      </c>
      <c r="CE77" s="32">
        <v>14.400660177697036</v>
      </c>
      <c r="CF77" s="32">
        <v>2.1954258768485122</v>
      </c>
      <c r="CG77" s="32">
        <v>0</v>
      </c>
      <c r="CH77" s="32">
        <v>2.1954258768485122</v>
      </c>
      <c r="CI77" s="32">
        <v>0.10977078578989516</v>
      </c>
      <c r="CJ77" s="32">
        <v>0</v>
      </c>
      <c r="CK77" s="32">
        <v>0.10977078578989516</v>
      </c>
      <c r="CL77" s="32"/>
      <c r="CM77" s="32">
        <v>0</v>
      </c>
      <c r="CN77" s="32"/>
      <c r="CO77" s="32">
        <v>0</v>
      </c>
      <c r="CP77" s="32">
        <v>0</v>
      </c>
      <c r="CQ77" s="32">
        <v>0</v>
      </c>
      <c r="CR77" s="32">
        <v>0</v>
      </c>
      <c r="CS77" s="32">
        <v>0</v>
      </c>
      <c r="CT77" s="32">
        <v>0</v>
      </c>
      <c r="CU77" s="32">
        <v>33.366759951950286</v>
      </c>
      <c r="CV77" s="32">
        <v>9999</v>
      </c>
      <c r="CW77" s="384">
        <v>0</v>
      </c>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row>
    <row r="78" spans="1:131">
      <c r="A78" s="11" t="s">
        <v>671</v>
      </c>
      <c r="B78" s="11" t="s">
        <v>846</v>
      </c>
      <c r="C78" s="32">
        <v>16.279069767441861</v>
      </c>
      <c r="D78" s="32">
        <v>333.25</v>
      </c>
      <c r="E78" s="32">
        <v>0</v>
      </c>
      <c r="F78" s="32">
        <v>81.005788606478362</v>
      </c>
      <c r="G78" s="32">
        <v>0</v>
      </c>
      <c r="H78" s="32">
        <v>0</v>
      </c>
      <c r="I78" s="32" t="s">
        <v>526</v>
      </c>
      <c r="J78" s="32"/>
      <c r="K78" s="32"/>
      <c r="L78" s="32">
        <v>377.0520065913297</v>
      </c>
      <c r="M78" s="32">
        <v>8.8133249956079199E-2</v>
      </c>
      <c r="N78" s="32">
        <v>8.3617884208803783E-2</v>
      </c>
      <c r="O78" s="32">
        <v>0</v>
      </c>
      <c r="P78" s="32">
        <v>0</v>
      </c>
      <c r="Q78" s="32">
        <v>0</v>
      </c>
      <c r="R78" s="32">
        <v>16.153636364134851</v>
      </c>
      <c r="S78" s="32">
        <v>3.9994925017815115</v>
      </c>
      <c r="T78" s="32">
        <v>33.366759951950286</v>
      </c>
      <c r="U78" s="32">
        <v>47.538015699641917</v>
      </c>
      <c r="V78" s="32" t="s">
        <v>611</v>
      </c>
      <c r="W78" s="32" t="s">
        <v>611</v>
      </c>
      <c r="X78" s="32" t="s">
        <v>611</v>
      </c>
      <c r="Y78" s="32" t="s">
        <v>611</v>
      </c>
      <c r="Z78" s="32">
        <v>0</v>
      </c>
      <c r="AA78" s="32">
        <v>0</v>
      </c>
      <c r="AB78" s="32">
        <v>0</v>
      </c>
      <c r="AC78" s="32">
        <v>0</v>
      </c>
      <c r="AD78" s="32">
        <v>0</v>
      </c>
      <c r="AE78" s="32">
        <v>0</v>
      </c>
      <c r="AF78" s="32">
        <v>0</v>
      </c>
      <c r="AG78" s="32">
        <v>0</v>
      </c>
      <c r="AH78" s="32">
        <v>16.153636364134851</v>
      </c>
      <c r="AI78" s="32">
        <v>3.9994925017815115</v>
      </c>
      <c r="AJ78" s="32">
        <v>33.366759951950286</v>
      </c>
      <c r="AK78" s="32">
        <v>47.538015699641917</v>
      </c>
      <c r="AL78" s="32">
        <v>101.05790451750856</v>
      </c>
      <c r="AM78" s="32">
        <v>180.84252971543961</v>
      </c>
      <c r="AN78" s="32">
        <v>31.141750347388854</v>
      </c>
      <c r="AO78" s="32">
        <v>21.198428006282846</v>
      </c>
      <c r="AP78" s="32">
        <v>0</v>
      </c>
      <c r="AQ78" s="32">
        <v>233.18270806911133</v>
      </c>
      <c r="AR78" s="32">
        <v>16.153636364134851</v>
      </c>
      <c r="AS78" s="383">
        <v>14.435307494406386</v>
      </c>
      <c r="AT78" s="32">
        <v>180.84252971543961</v>
      </c>
      <c r="AU78" s="32">
        <v>35.228224374874266</v>
      </c>
      <c r="AV78" s="32">
        <v>21.607075409031388</v>
      </c>
      <c r="AW78" s="32">
        <v>0</v>
      </c>
      <c r="AX78" s="32">
        <v>237.67782949934525</v>
      </c>
      <c r="AY78" s="32">
        <v>3.9994925017815115</v>
      </c>
      <c r="AZ78" s="383">
        <v>59.426997148632076</v>
      </c>
      <c r="BA78" s="32">
        <v>180.84252971543961</v>
      </c>
      <c r="BB78" s="32">
        <v>66.369974722263123</v>
      </c>
      <c r="BC78" s="32">
        <v>24.721250443770273</v>
      </c>
      <c r="BD78" s="32">
        <v>0</v>
      </c>
      <c r="BE78" s="32">
        <v>271.93375488147302</v>
      </c>
      <c r="BF78" s="32">
        <v>20.153128865916361</v>
      </c>
      <c r="BG78" s="32">
        <v>-13.843579133636334</v>
      </c>
      <c r="BH78" s="383">
        <v>13.493376472244783</v>
      </c>
      <c r="BI78" s="32">
        <v>3.1523843317813611</v>
      </c>
      <c r="BJ78" s="32">
        <v>0.78050150526390938</v>
      </c>
      <c r="BK78" s="32">
        <v>6.511527739251008</v>
      </c>
      <c r="BL78" s="32">
        <v>9.2770502243228865</v>
      </c>
      <c r="BM78" s="32">
        <v>19.721463800619166</v>
      </c>
      <c r="BN78" s="32">
        <v>180.84252971543961</v>
      </c>
      <c r="BO78" s="32">
        <v>0</v>
      </c>
      <c r="BP78" s="32">
        <v>66.369974722263123</v>
      </c>
      <c r="BQ78" s="32">
        <v>0</v>
      </c>
      <c r="BR78" s="32">
        <v>0</v>
      </c>
      <c r="BS78" s="32">
        <v>0</v>
      </c>
      <c r="BT78" s="32">
        <v>0</v>
      </c>
      <c r="BU78" s="32">
        <v>0</v>
      </c>
      <c r="BV78" s="32">
        <v>0</v>
      </c>
      <c r="BW78" s="32">
        <v>24.721250443770273</v>
      </c>
      <c r="BX78" s="32">
        <v>101.05790451750856</v>
      </c>
      <c r="BY78" s="32"/>
      <c r="BZ78" s="32">
        <v>0</v>
      </c>
      <c r="CA78" s="32">
        <v>0</v>
      </c>
      <c r="CB78" s="32">
        <v>271.93375488147302</v>
      </c>
      <c r="CC78" s="32">
        <v>101.05790451750856</v>
      </c>
      <c r="CD78" s="383">
        <v>2.6908707060550592</v>
      </c>
      <c r="CE78" s="32">
        <v>1.9449988299375613</v>
      </c>
      <c r="CF78" s="32">
        <v>3.5820106411738895</v>
      </c>
      <c r="CG78" s="32">
        <v>0</v>
      </c>
      <c r="CH78" s="32">
        <v>3.5820106411738895</v>
      </c>
      <c r="CI78" s="32">
        <v>0.17909970313088158</v>
      </c>
      <c r="CJ78" s="32">
        <v>0</v>
      </c>
      <c r="CK78" s="32">
        <v>0.17909970313088158</v>
      </c>
      <c r="CL78" s="32"/>
      <c r="CM78" s="32">
        <v>0</v>
      </c>
      <c r="CN78" s="32"/>
      <c r="CO78" s="32">
        <v>0</v>
      </c>
      <c r="CP78" s="32">
        <v>0</v>
      </c>
      <c r="CQ78" s="32">
        <v>0</v>
      </c>
      <c r="CR78" s="32">
        <v>0</v>
      </c>
      <c r="CS78" s="32">
        <v>0</v>
      </c>
      <c r="CT78" s="32">
        <v>0</v>
      </c>
      <c r="CU78" s="32">
        <v>33.366759951950286</v>
      </c>
      <c r="CV78" s="32">
        <v>9999</v>
      </c>
      <c r="CW78" s="384">
        <v>0</v>
      </c>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row>
    <row r="79" spans="1:131">
      <c r="A79" s="11" t="s">
        <v>671</v>
      </c>
      <c r="B79" s="11" t="s">
        <v>847</v>
      </c>
      <c r="C79" s="32">
        <v>16.279069767441861</v>
      </c>
      <c r="D79" s="32">
        <v>333.25</v>
      </c>
      <c r="E79" s="32">
        <v>0</v>
      </c>
      <c r="F79" s="32">
        <v>81.005788606478362</v>
      </c>
      <c r="G79" s="32">
        <v>0</v>
      </c>
      <c r="H79" s="32">
        <v>0</v>
      </c>
      <c r="I79" s="32" t="s">
        <v>526</v>
      </c>
      <c r="J79" s="32"/>
      <c r="K79" s="32"/>
      <c r="L79" s="32">
        <v>377.0520065913297</v>
      </c>
      <c r="M79" s="32">
        <v>8.8133249956079199E-2</v>
      </c>
      <c r="N79" s="32">
        <v>8.3617884208803783E-2</v>
      </c>
      <c r="O79" s="32">
        <v>0</v>
      </c>
      <c r="P79" s="32">
        <v>0</v>
      </c>
      <c r="Q79" s="32">
        <v>0</v>
      </c>
      <c r="R79" s="32">
        <v>16.153636364134851</v>
      </c>
      <c r="S79" s="32">
        <v>3.9994925017815115</v>
      </c>
      <c r="T79" s="32">
        <v>33.366759951950286</v>
      </c>
      <c r="U79" s="32">
        <v>47.538015699641917</v>
      </c>
      <c r="V79" s="32" t="s">
        <v>611</v>
      </c>
      <c r="W79" s="32" t="s">
        <v>611</v>
      </c>
      <c r="X79" s="32" t="s">
        <v>611</v>
      </c>
      <c r="Y79" s="32" t="s">
        <v>611</v>
      </c>
      <c r="Z79" s="32">
        <v>0</v>
      </c>
      <c r="AA79" s="32">
        <v>0</v>
      </c>
      <c r="AB79" s="32">
        <v>0</v>
      </c>
      <c r="AC79" s="32">
        <v>0</v>
      </c>
      <c r="AD79" s="32">
        <v>0</v>
      </c>
      <c r="AE79" s="32">
        <v>0</v>
      </c>
      <c r="AF79" s="32">
        <v>0</v>
      </c>
      <c r="AG79" s="32">
        <v>0</v>
      </c>
      <c r="AH79" s="32">
        <v>16.153636364134851</v>
      </c>
      <c r="AI79" s="32">
        <v>3.9994925017815115</v>
      </c>
      <c r="AJ79" s="32">
        <v>33.366759951950286</v>
      </c>
      <c r="AK79" s="32">
        <v>47.538015699641917</v>
      </c>
      <c r="AL79" s="32">
        <v>101.05790451750856</v>
      </c>
      <c r="AM79" s="32">
        <v>180.84252971543961</v>
      </c>
      <c r="AN79" s="32">
        <v>31.141750347388854</v>
      </c>
      <c r="AO79" s="32">
        <v>21.198428006282846</v>
      </c>
      <c r="AP79" s="32">
        <v>0</v>
      </c>
      <c r="AQ79" s="32">
        <v>233.18270806911133</v>
      </c>
      <c r="AR79" s="32">
        <v>16.153636364134851</v>
      </c>
      <c r="AS79" s="383">
        <v>14.435307494406386</v>
      </c>
      <c r="AT79" s="32">
        <v>180.84252971543961</v>
      </c>
      <c r="AU79" s="32">
        <v>35.228224374874266</v>
      </c>
      <c r="AV79" s="32">
        <v>21.607075409031388</v>
      </c>
      <c r="AW79" s="32">
        <v>0</v>
      </c>
      <c r="AX79" s="32">
        <v>237.67782949934525</v>
      </c>
      <c r="AY79" s="32">
        <v>3.9994925017815115</v>
      </c>
      <c r="AZ79" s="383">
        <v>59.426997148632076</v>
      </c>
      <c r="BA79" s="32">
        <v>180.84252971543961</v>
      </c>
      <c r="BB79" s="32">
        <v>66.369974722263123</v>
      </c>
      <c r="BC79" s="32">
        <v>24.721250443770273</v>
      </c>
      <c r="BD79" s="32">
        <v>0</v>
      </c>
      <c r="BE79" s="32">
        <v>271.93375488147302</v>
      </c>
      <c r="BF79" s="32">
        <v>20.153128865916361</v>
      </c>
      <c r="BG79" s="32">
        <v>-13.843579133636334</v>
      </c>
      <c r="BH79" s="383">
        <v>13.493376472244783</v>
      </c>
      <c r="BI79" s="32">
        <v>3.1523843317813611</v>
      </c>
      <c r="BJ79" s="32">
        <v>0.78050150526390938</v>
      </c>
      <c r="BK79" s="32">
        <v>6.511527739251008</v>
      </c>
      <c r="BL79" s="32">
        <v>9.2770502243228865</v>
      </c>
      <c r="BM79" s="32">
        <v>19.721463800619166</v>
      </c>
      <c r="BN79" s="32">
        <v>180.84252971543961</v>
      </c>
      <c r="BO79" s="32">
        <v>0</v>
      </c>
      <c r="BP79" s="32">
        <v>66.369974722263123</v>
      </c>
      <c r="BQ79" s="32">
        <v>0</v>
      </c>
      <c r="BR79" s="32">
        <v>0</v>
      </c>
      <c r="BS79" s="32">
        <v>0</v>
      </c>
      <c r="BT79" s="32">
        <v>0</v>
      </c>
      <c r="BU79" s="32">
        <v>0</v>
      </c>
      <c r="BV79" s="32">
        <v>0</v>
      </c>
      <c r="BW79" s="32">
        <v>24.721250443770273</v>
      </c>
      <c r="BX79" s="32">
        <v>101.05790451750856</v>
      </c>
      <c r="BY79" s="32"/>
      <c r="BZ79" s="32">
        <v>0</v>
      </c>
      <c r="CA79" s="32">
        <v>0</v>
      </c>
      <c r="CB79" s="32">
        <v>271.93375488147302</v>
      </c>
      <c r="CC79" s="32">
        <v>101.05790451750856</v>
      </c>
      <c r="CD79" s="383">
        <v>2.6908707060550592</v>
      </c>
      <c r="CE79" s="32">
        <v>1.9449988299375613</v>
      </c>
      <c r="CF79" s="32">
        <v>3.5820106411738895</v>
      </c>
      <c r="CG79" s="32">
        <v>0</v>
      </c>
      <c r="CH79" s="32">
        <v>3.5820106411738895</v>
      </c>
      <c r="CI79" s="32">
        <v>0.17909970313088158</v>
      </c>
      <c r="CJ79" s="32">
        <v>0</v>
      </c>
      <c r="CK79" s="32">
        <v>0.17909970313088158</v>
      </c>
      <c r="CL79" s="32"/>
      <c r="CM79" s="32">
        <v>0</v>
      </c>
      <c r="CN79" s="32"/>
      <c r="CO79" s="32">
        <v>0</v>
      </c>
      <c r="CP79" s="32">
        <v>0</v>
      </c>
      <c r="CQ79" s="32">
        <v>0</v>
      </c>
      <c r="CR79" s="32">
        <v>0</v>
      </c>
      <c r="CS79" s="32">
        <v>0</v>
      </c>
      <c r="CT79" s="32">
        <v>0</v>
      </c>
      <c r="CU79" s="32">
        <v>33.366759951950286</v>
      </c>
      <c r="CV79" s="32">
        <v>9999</v>
      </c>
      <c r="CW79" s="384">
        <v>0</v>
      </c>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row>
    <row r="80" spans="1:131">
      <c r="A80" s="11" t="s">
        <v>672</v>
      </c>
      <c r="B80" s="11" t="s">
        <v>957</v>
      </c>
      <c r="C80" s="32">
        <v>16.279069767441861</v>
      </c>
      <c r="D80" s="32">
        <v>597.70000000000005</v>
      </c>
      <c r="E80" s="32">
        <v>0</v>
      </c>
      <c r="F80" s="32">
        <v>162.01157721295672</v>
      </c>
      <c r="G80" s="32">
        <v>0</v>
      </c>
      <c r="H80" s="32">
        <v>0</v>
      </c>
      <c r="I80" s="32" t="s">
        <v>526</v>
      </c>
      <c r="J80" s="32"/>
      <c r="K80" s="32"/>
      <c r="L80" s="32">
        <v>676.26101827348168</v>
      </c>
      <c r="M80" s="32">
        <v>0.1580712483083227</v>
      </c>
      <c r="N80" s="32">
        <v>0.14997272135514486</v>
      </c>
      <c r="O80" s="32">
        <v>0</v>
      </c>
      <c r="P80" s="32">
        <v>0</v>
      </c>
      <c r="Q80" s="32">
        <v>0</v>
      </c>
      <c r="R80" s="32">
        <v>32.307272728269702</v>
      </c>
      <c r="S80" s="32">
        <v>7.998985003563023</v>
      </c>
      <c r="T80" s="32">
        <v>66.733519903900572</v>
      </c>
      <c r="U80" s="32">
        <v>95.076031399283835</v>
      </c>
      <c r="V80" s="32" t="s">
        <v>611</v>
      </c>
      <c r="W80" s="32" t="s">
        <v>611</v>
      </c>
      <c r="X80" s="32" t="s">
        <v>611</v>
      </c>
      <c r="Y80" s="32" t="s">
        <v>611</v>
      </c>
      <c r="Z80" s="32">
        <v>0</v>
      </c>
      <c r="AA80" s="32">
        <v>0</v>
      </c>
      <c r="AB80" s="32">
        <v>0</v>
      </c>
      <c r="AC80" s="32">
        <v>0</v>
      </c>
      <c r="AD80" s="32">
        <v>0</v>
      </c>
      <c r="AE80" s="32">
        <v>0</v>
      </c>
      <c r="AF80" s="32">
        <v>0</v>
      </c>
      <c r="AG80" s="32">
        <v>0</v>
      </c>
      <c r="AH80" s="32">
        <v>32.307272728269702</v>
      </c>
      <c r="AI80" s="32">
        <v>7.998985003563023</v>
      </c>
      <c r="AJ80" s="32">
        <v>66.733519903900572</v>
      </c>
      <c r="AK80" s="32">
        <v>95.076031399283835</v>
      </c>
      <c r="AL80" s="32">
        <v>202.11580903501712</v>
      </c>
      <c r="AM80" s="32">
        <v>324.34982748962744</v>
      </c>
      <c r="AN80" s="32">
        <v>55.854236106929704</v>
      </c>
      <c r="AO80" s="32">
        <v>38.020406359655716</v>
      </c>
      <c r="AP80" s="32">
        <v>0</v>
      </c>
      <c r="AQ80" s="32">
        <v>418.22446995621289</v>
      </c>
      <c r="AR80" s="32">
        <v>32.307272728269702</v>
      </c>
      <c r="AS80" s="383">
        <v>12.945211236919285</v>
      </c>
      <c r="AT80" s="32">
        <v>324.34982748962744</v>
      </c>
      <c r="AU80" s="32">
        <v>63.183525007839016</v>
      </c>
      <c r="AV80" s="32">
        <v>38.753335249746648</v>
      </c>
      <c r="AW80" s="32">
        <v>0</v>
      </c>
      <c r="AX80" s="32">
        <v>426.28668774721314</v>
      </c>
      <c r="AY80" s="32">
        <v>7.998985003563023</v>
      </c>
      <c r="AZ80" s="383">
        <v>53.292597442966873</v>
      </c>
      <c r="BA80" s="32">
        <v>324.34982748962744</v>
      </c>
      <c r="BB80" s="32">
        <v>119.03776111476873</v>
      </c>
      <c r="BC80" s="32">
        <v>44.338758860439619</v>
      </c>
      <c r="BD80" s="32">
        <v>0</v>
      </c>
      <c r="BE80" s="32">
        <v>487.72634746483578</v>
      </c>
      <c r="BF80" s="32">
        <v>40.306257731832723</v>
      </c>
      <c r="BG80" s="32">
        <v>-13.390872850235445</v>
      </c>
      <c r="BH80" s="383">
        <v>12.100511804142103</v>
      </c>
      <c r="BI80" s="32">
        <v>3.5152487152957623</v>
      </c>
      <c r="BJ80" s="32">
        <v>0.87034340515040254</v>
      </c>
      <c r="BK80" s="32">
        <v>7.2610561121144332</v>
      </c>
      <c r="BL80" s="32">
        <v>10.344912120647823</v>
      </c>
      <c r="BM80" s="32">
        <v>21.991560353208421</v>
      </c>
      <c r="BN80" s="32">
        <v>324.34982748962744</v>
      </c>
      <c r="BO80" s="32">
        <v>0</v>
      </c>
      <c r="BP80" s="32">
        <v>119.03776111476873</v>
      </c>
      <c r="BQ80" s="32">
        <v>0</v>
      </c>
      <c r="BR80" s="32">
        <v>0</v>
      </c>
      <c r="BS80" s="32">
        <v>0</v>
      </c>
      <c r="BT80" s="32">
        <v>0</v>
      </c>
      <c r="BU80" s="32">
        <v>0</v>
      </c>
      <c r="BV80" s="32">
        <v>0</v>
      </c>
      <c r="BW80" s="32">
        <v>44.338758860439619</v>
      </c>
      <c r="BX80" s="32">
        <v>202.11580903501712</v>
      </c>
      <c r="BY80" s="32"/>
      <c r="BZ80" s="32">
        <v>0</v>
      </c>
      <c r="CA80" s="32">
        <v>0</v>
      </c>
      <c r="CB80" s="32">
        <v>487.72634746483578</v>
      </c>
      <c r="CC80" s="32">
        <v>202.11580903501712</v>
      </c>
      <c r="CD80" s="383">
        <v>2.4131034073655062</v>
      </c>
      <c r="CE80" s="32">
        <v>4.2150953825268083</v>
      </c>
      <c r="CF80" s="32">
        <v>6.4245094080409224</v>
      </c>
      <c r="CG80" s="32">
        <v>0</v>
      </c>
      <c r="CH80" s="32">
        <v>6.4245094080409224</v>
      </c>
      <c r="CI80" s="32">
        <v>0.32122398367990379</v>
      </c>
      <c r="CJ80" s="32">
        <v>0</v>
      </c>
      <c r="CK80" s="32">
        <v>0.32122398367990379</v>
      </c>
      <c r="CL80" s="32"/>
      <c r="CM80" s="32">
        <v>0</v>
      </c>
      <c r="CN80" s="32"/>
      <c r="CO80" s="32">
        <v>0</v>
      </c>
      <c r="CP80" s="32">
        <v>0</v>
      </c>
      <c r="CQ80" s="32">
        <v>0</v>
      </c>
      <c r="CR80" s="32">
        <v>0</v>
      </c>
      <c r="CS80" s="32">
        <v>0</v>
      </c>
      <c r="CT80" s="32">
        <v>0</v>
      </c>
      <c r="CU80" s="32">
        <v>66.733519903900572</v>
      </c>
      <c r="CV80" s="32">
        <v>9999</v>
      </c>
      <c r="CW80" s="384">
        <v>0</v>
      </c>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row>
    <row r="81" spans="1:131">
      <c r="A81" s="11" t="s">
        <v>672</v>
      </c>
      <c r="B81" s="11" t="s">
        <v>958</v>
      </c>
      <c r="C81" s="32">
        <v>16.279069767441861</v>
      </c>
      <c r="D81" s="32">
        <v>597.70000000000005</v>
      </c>
      <c r="E81" s="32">
        <v>0</v>
      </c>
      <c r="F81" s="32">
        <v>162.01157721295672</v>
      </c>
      <c r="G81" s="32">
        <v>0</v>
      </c>
      <c r="H81" s="32">
        <v>0</v>
      </c>
      <c r="I81" s="32" t="s">
        <v>526</v>
      </c>
      <c r="J81" s="32"/>
      <c r="K81" s="32"/>
      <c r="L81" s="32">
        <v>676.26101827348168</v>
      </c>
      <c r="M81" s="32">
        <v>0.1580712483083227</v>
      </c>
      <c r="N81" s="32">
        <v>0.14997272135514486</v>
      </c>
      <c r="O81" s="32">
        <v>0</v>
      </c>
      <c r="P81" s="32">
        <v>0</v>
      </c>
      <c r="Q81" s="32">
        <v>0</v>
      </c>
      <c r="R81" s="32">
        <v>32.307272728269702</v>
      </c>
      <c r="S81" s="32">
        <v>7.998985003563023</v>
      </c>
      <c r="T81" s="32">
        <v>66.733519903900572</v>
      </c>
      <c r="U81" s="32">
        <v>95.076031399283835</v>
      </c>
      <c r="V81" s="32" t="s">
        <v>611</v>
      </c>
      <c r="W81" s="32" t="s">
        <v>611</v>
      </c>
      <c r="X81" s="32" t="s">
        <v>611</v>
      </c>
      <c r="Y81" s="32" t="s">
        <v>611</v>
      </c>
      <c r="Z81" s="32">
        <v>0</v>
      </c>
      <c r="AA81" s="32">
        <v>0</v>
      </c>
      <c r="AB81" s="32">
        <v>0</v>
      </c>
      <c r="AC81" s="32">
        <v>0</v>
      </c>
      <c r="AD81" s="32">
        <v>0</v>
      </c>
      <c r="AE81" s="32">
        <v>0</v>
      </c>
      <c r="AF81" s="32">
        <v>0</v>
      </c>
      <c r="AG81" s="32">
        <v>0</v>
      </c>
      <c r="AH81" s="32">
        <v>32.307272728269702</v>
      </c>
      <c r="AI81" s="32">
        <v>7.998985003563023</v>
      </c>
      <c r="AJ81" s="32">
        <v>66.733519903900572</v>
      </c>
      <c r="AK81" s="32">
        <v>95.076031399283835</v>
      </c>
      <c r="AL81" s="32">
        <v>202.11580903501712</v>
      </c>
      <c r="AM81" s="32">
        <v>324.34982748962744</v>
      </c>
      <c r="AN81" s="32">
        <v>55.854236106929704</v>
      </c>
      <c r="AO81" s="32">
        <v>38.020406359655716</v>
      </c>
      <c r="AP81" s="32">
        <v>0</v>
      </c>
      <c r="AQ81" s="32">
        <v>418.22446995621289</v>
      </c>
      <c r="AR81" s="32">
        <v>32.307272728269702</v>
      </c>
      <c r="AS81" s="383">
        <v>12.945211236919285</v>
      </c>
      <c r="AT81" s="32">
        <v>324.34982748962744</v>
      </c>
      <c r="AU81" s="32">
        <v>63.183525007839016</v>
      </c>
      <c r="AV81" s="32">
        <v>38.753335249746648</v>
      </c>
      <c r="AW81" s="32">
        <v>0</v>
      </c>
      <c r="AX81" s="32">
        <v>426.28668774721314</v>
      </c>
      <c r="AY81" s="32">
        <v>7.998985003563023</v>
      </c>
      <c r="AZ81" s="383">
        <v>53.292597442966873</v>
      </c>
      <c r="BA81" s="32">
        <v>324.34982748962744</v>
      </c>
      <c r="BB81" s="32">
        <v>119.03776111476873</v>
      </c>
      <c r="BC81" s="32">
        <v>44.338758860439619</v>
      </c>
      <c r="BD81" s="32">
        <v>0</v>
      </c>
      <c r="BE81" s="32">
        <v>487.72634746483578</v>
      </c>
      <c r="BF81" s="32">
        <v>40.306257731832723</v>
      </c>
      <c r="BG81" s="32">
        <v>-13.390872850235445</v>
      </c>
      <c r="BH81" s="383">
        <v>12.100511804142103</v>
      </c>
      <c r="BI81" s="32">
        <v>3.5152487152957623</v>
      </c>
      <c r="BJ81" s="32">
        <v>0.87034340515040254</v>
      </c>
      <c r="BK81" s="32">
        <v>7.2610561121144332</v>
      </c>
      <c r="BL81" s="32">
        <v>10.344912120647823</v>
      </c>
      <c r="BM81" s="32">
        <v>21.991560353208421</v>
      </c>
      <c r="BN81" s="32">
        <v>324.34982748962744</v>
      </c>
      <c r="BO81" s="32">
        <v>0</v>
      </c>
      <c r="BP81" s="32">
        <v>119.03776111476873</v>
      </c>
      <c r="BQ81" s="32">
        <v>0</v>
      </c>
      <c r="BR81" s="32">
        <v>0</v>
      </c>
      <c r="BS81" s="32">
        <v>0</v>
      </c>
      <c r="BT81" s="32">
        <v>0</v>
      </c>
      <c r="BU81" s="32">
        <v>0</v>
      </c>
      <c r="BV81" s="32">
        <v>0</v>
      </c>
      <c r="BW81" s="32">
        <v>44.338758860439619</v>
      </c>
      <c r="BX81" s="32">
        <v>202.11580903501712</v>
      </c>
      <c r="BY81" s="32"/>
      <c r="BZ81" s="32">
        <v>0</v>
      </c>
      <c r="CA81" s="32">
        <v>0</v>
      </c>
      <c r="CB81" s="32">
        <v>487.72634746483578</v>
      </c>
      <c r="CC81" s="32">
        <v>202.11580903501712</v>
      </c>
      <c r="CD81" s="383">
        <v>2.4131034073655062</v>
      </c>
      <c r="CE81" s="32">
        <v>4.2150953825268083</v>
      </c>
      <c r="CF81" s="32">
        <v>6.4245094080409224</v>
      </c>
      <c r="CG81" s="32">
        <v>0</v>
      </c>
      <c r="CH81" s="32">
        <v>6.4245094080409224</v>
      </c>
      <c r="CI81" s="32">
        <v>0.32122398367990379</v>
      </c>
      <c r="CJ81" s="32">
        <v>0</v>
      </c>
      <c r="CK81" s="32">
        <v>0.32122398367990379</v>
      </c>
      <c r="CL81" s="32"/>
      <c r="CM81" s="32">
        <v>0</v>
      </c>
      <c r="CN81" s="32"/>
      <c r="CO81" s="32">
        <v>0</v>
      </c>
      <c r="CP81" s="32">
        <v>0</v>
      </c>
      <c r="CQ81" s="32">
        <v>0</v>
      </c>
      <c r="CR81" s="32">
        <v>0</v>
      </c>
      <c r="CS81" s="32">
        <v>0</v>
      </c>
      <c r="CT81" s="32">
        <v>0</v>
      </c>
      <c r="CU81" s="32">
        <v>66.733519903900572</v>
      </c>
      <c r="CV81" s="32">
        <v>9999</v>
      </c>
      <c r="CW81" s="384">
        <v>0</v>
      </c>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row>
    <row r="82" spans="1:131">
      <c r="A82" s="11" t="s">
        <v>673</v>
      </c>
      <c r="B82" s="11" t="s">
        <v>874</v>
      </c>
      <c r="C82" s="32">
        <v>16.279069767441861</v>
      </c>
      <c r="D82" s="32">
        <v>1459.85</v>
      </c>
      <c r="E82" s="32">
        <v>0</v>
      </c>
      <c r="F82" s="32">
        <v>486.0347316388702</v>
      </c>
      <c r="G82" s="32">
        <v>0</v>
      </c>
      <c r="H82" s="32">
        <v>0</v>
      </c>
      <c r="I82" s="32" t="s">
        <v>526</v>
      </c>
      <c r="J82" s="32"/>
      <c r="K82" s="32"/>
      <c r="L82" s="32">
        <v>1651.7310482291152</v>
      </c>
      <c r="M82" s="32">
        <v>0.38608049496888885</v>
      </c>
      <c r="N82" s="32">
        <v>0.36630027985663072</v>
      </c>
      <c r="O82" s="32">
        <v>0</v>
      </c>
      <c r="P82" s="32">
        <v>0</v>
      </c>
      <c r="Q82" s="32">
        <v>0</v>
      </c>
      <c r="R82" s="32">
        <v>96.921818184809098</v>
      </c>
      <c r="S82" s="32">
        <v>23.996955010689071</v>
      </c>
      <c r="T82" s="32">
        <v>200.20055971170177</v>
      </c>
      <c r="U82" s="32">
        <v>285.22809419785153</v>
      </c>
      <c r="V82" s="32" t="s">
        <v>611</v>
      </c>
      <c r="W82" s="32" t="s">
        <v>611</v>
      </c>
      <c r="X82" s="32" t="s">
        <v>611</v>
      </c>
      <c r="Y82" s="32" t="s">
        <v>611</v>
      </c>
      <c r="Z82" s="32">
        <v>0</v>
      </c>
      <c r="AA82" s="32">
        <v>0</v>
      </c>
      <c r="AB82" s="32">
        <v>0</v>
      </c>
      <c r="AC82" s="32">
        <v>0</v>
      </c>
      <c r="AD82" s="32">
        <v>0</v>
      </c>
      <c r="AE82" s="32">
        <v>0</v>
      </c>
      <c r="AF82" s="32">
        <v>0</v>
      </c>
      <c r="AG82" s="32">
        <v>0</v>
      </c>
      <c r="AH82" s="32">
        <v>96.921818184809098</v>
      </c>
      <c r="AI82" s="32">
        <v>23.996955010689071</v>
      </c>
      <c r="AJ82" s="32">
        <v>200.20055971170177</v>
      </c>
      <c r="AK82" s="32">
        <v>285.22809419785153</v>
      </c>
      <c r="AL82" s="32">
        <v>606.34742710505145</v>
      </c>
      <c r="AM82" s="32">
        <v>792.20695275344133</v>
      </c>
      <c r="AN82" s="32">
        <v>136.42095797340019</v>
      </c>
      <c r="AO82" s="32">
        <v>92.862791072684161</v>
      </c>
      <c r="AP82" s="32">
        <v>0</v>
      </c>
      <c r="AQ82" s="32">
        <v>1021.4907017995256</v>
      </c>
      <c r="AR82" s="32">
        <v>96.921818184809098</v>
      </c>
      <c r="AS82" s="383">
        <v>10.539326654518202</v>
      </c>
      <c r="AT82" s="32">
        <v>792.20695275344133</v>
      </c>
      <c r="AU82" s="32">
        <v>154.32235064864273</v>
      </c>
      <c r="AV82" s="32">
        <v>94.652930340208414</v>
      </c>
      <c r="AW82" s="32">
        <v>0</v>
      </c>
      <c r="AX82" s="32">
        <v>1041.1822337422925</v>
      </c>
      <c r="AY82" s="32">
        <v>23.996955010689071</v>
      </c>
      <c r="AZ82" s="383">
        <v>43.388097918194788</v>
      </c>
      <c r="BA82" s="32">
        <v>792.20695275344133</v>
      </c>
      <c r="BB82" s="32">
        <v>290.74330862204295</v>
      </c>
      <c r="BC82" s="32">
        <v>108.29502613754843</v>
      </c>
      <c r="BD82" s="32">
        <v>0</v>
      </c>
      <c r="BE82" s="32">
        <v>1191.2452875130325</v>
      </c>
      <c r="BF82" s="32">
        <v>120.91877319549818</v>
      </c>
      <c r="BG82" s="32">
        <v>-12.389743573844914</v>
      </c>
      <c r="BH82" s="383">
        <v>9.8516157254346233</v>
      </c>
      <c r="BI82" s="32">
        <v>4.3176987165783007</v>
      </c>
      <c r="BJ82" s="32">
        <v>1.0690226802583738</v>
      </c>
      <c r="BK82" s="32">
        <v>8.918587330638351</v>
      </c>
      <c r="BL82" s="32">
        <v>12.706416360265518</v>
      </c>
      <c r="BM82" s="32">
        <v>27.01172508774054</v>
      </c>
      <c r="BN82" s="32">
        <v>792.20695275344133</v>
      </c>
      <c r="BO82" s="32">
        <v>0</v>
      </c>
      <c r="BP82" s="32">
        <v>290.74330862204295</v>
      </c>
      <c r="BQ82" s="32">
        <v>0</v>
      </c>
      <c r="BR82" s="32">
        <v>0</v>
      </c>
      <c r="BS82" s="32">
        <v>0</v>
      </c>
      <c r="BT82" s="32">
        <v>0</v>
      </c>
      <c r="BU82" s="32">
        <v>0</v>
      </c>
      <c r="BV82" s="32">
        <v>0</v>
      </c>
      <c r="BW82" s="32">
        <v>108.29502613754843</v>
      </c>
      <c r="BX82" s="32">
        <v>606.34742710505145</v>
      </c>
      <c r="BY82" s="32"/>
      <c r="BZ82" s="32">
        <v>0</v>
      </c>
      <c r="CA82" s="32">
        <v>0</v>
      </c>
      <c r="CB82" s="32">
        <v>1191.2452875130325</v>
      </c>
      <c r="CC82" s="32">
        <v>606.34742710505145</v>
      </c>
      <c r="CD82" s="383">
        <v>1.9646249563563265</v>
      </c>
      <c r="CE82" s="32">
        <v>9.2352601170589477</v>
      </c>
      <c r="CF82" s="32">
        <v>15.691517582948913</v>
      </c>
      <c r="CG82" s="32">
        <v>0</v>
      </c>
      <c r="CH82" s="32">
        <v>15.691517582948913</v>
      </c>
      <c r="CI82" s="32">
        <v>0.7845722479088294</v>
      </c>
      <c r="CJ82" s="32">
        <v>0</v>
      </c>
      <c r="CK82" s="32">
        <v>0.7845722479088294</v>
      </c>
      <c r="CL82" s="32"/>
      <c r="CM82" s="32">
        <v>0</v>
      </c>
      <c r="CN82" s="32"/>
      <c r="CO82" s="32">
        <v>0</v>
      </c>
      <c r="CP82" s="32">
        <v>0</v>
      </c>
      <c r="CQ82" s="32">
        <v>0</v>
      </c>
      <c r="CR82" s="32">
        <v>0</v>
      </c>
      <c r="CS82" s="32">
        <v>0</v>
      </c>
      <c r="CT82" s="32">
        <v>0</v>
      </c>
      <c r="CU82" s="32">
        <v>200.20055971170177</v>
      </c>
      <c r="CV82" s="32">
        <v>9999</v>
      </c>
      <c r="CW82" s="384">
        <v>0</v>
      </c>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row>
    <row r="83" spans="1:131">
      <c r="A83" s="11" t="s">
        <v>673</v>
      </c>
      <c r="B83" s="11" t="s">
        <v>875</v>
      </c>
      <c r="C83" s="32">
        <v>16.279069767441861</v>
      </c>
      <c r="D83" s="32">
        <v>1459.85</v>
      </c>
      <c r="E83" s="32">
        <v>0</v>
      </c>
      <c r="F83" s="32">
        <v>486.0347316388702</v>
      </c>
      <c r="G83" s="32">
        <v>0</v>
      </c>
      <c r="H83" s="32">
        <v>0</v>
      </c>
      <c r="I83" s="32" t="s">
        <v>526</v>
      </c>
      <c r="J83" s="32"/>
      <c r="K83" s="32"/>
      <c r="L83" s="32">
        <v>1651.7310482291152</v>
      </c>
      <c r="M83" s="32">
        <v>0.38608049496888885</v>
      </c>
      <c r="N83" s="32">
        <v>0.36630027985663072</v>
      </c>
      <c r="O83" s="32">
        <v>0</v>
      </c>
      <c r="P83" s="32">
        <v>0</v>
      </c>
      <c r="Q83" s="32">
        <v>0</v>
      </c>
      <c r="R83" s="32">
        <v>96.921818184809098</v>
      </c>
      <c r="S83" s="32">
        <v>23.996955010689071</v>
      </c>
      <c r="T83" s="32">
        <v>200.20055971170177</v>
      </c>
      <c r="U83" s="32">
        <v>285.22809419785153</v>
      </c>
      <c r="V83" s="32" t="s">
        <v>611</v>
      </c>
      <c r="W83" s="32" t="s">
        <v>611</v>
      </c>
      <c r="X83" s="32" t="s">
        <v>611</v>
      </c>
      <c r="Y83" s="32" t="s">
        <v>611</v>
      </c>
      <c r="Z83" s="32">
        <v>0</v>
      </c>
      <c r="AA83" s="32">
        <v>0</v>
      </c>
      <c r="AB83" s="32">
        <v>0</v>
      </c>
      <c r="AC83" s="32">
        <v>0</v>
      </c>
      <c r="AD83" s="32">
        <v>0</v>
      </c>
      <c r="AE83" s="32">
        <v>0</v>
      </c>
      <c r="AF83" s="32">
        <v>0</v>
      </c>
      <c r="AG83" s="32">
        <v>0</v>
      </c>
      <c r="AH83" s="32">
        <v>96.921818184809098</v>
      </c>
      <c r="AI83" s="32">
        <v>23.996955010689071</v>
      </c>
      <c r="AJ83" s="32">
        <v>200.20055971170177</v>
      </c>
      <c r="AK83" s="32">
        <v>285.22809419785153</v>
      </c>
      <c r="AL83" s="32">
        <v>606.34742710505145</v>
      </c>
      <c r="AM83" s="32">
        <v>792.20695275344133</v>
      </c>
      <c r="AN83" s="32">
        <v>136.42095797340019</v>
      </c>
      <c r="AO83" s="32">
        <v>92.862791072684161</v>
      </c>
      <c r="AP83" s="32">
        <v>0</v>
      </c>
      <c r="AQ83" s="32">
        <v>1021.4907017995256</v>
      </c>
      <c r="AR83" s="32">
        <v>96.921818184809098</v>
      </c>
      <c r="AS83" s="383">
        <v>10.539326654518202</v>
      </c>
      <c r="AT83" s="32">
        <v>792.20695275344133</v>
      </c>
      <c r="AU83" s="32">
        <v>154.32235064864273</v>
      </c>
      <c r="AV83" s="32">
        <v>94.652930340208414</v>
      </c>
      <c r="AW83" s="32">
        <v>0</v>
      </c>
      <c r="AX83" s="32">
        <v>1041.1822337422925</v>
      </c>
      <c r="AY83" s="32">
        <v>23.996955010689071</v>
      </c>
      <c r="AZ83" s="383">
        <v>43.388097918194788</v>
      </c>
      <c r="BA83" s="32">
        <v>792.20695275344133</v>
      </c>
      <c r="BB83" s="32">
        <v>290.74330862204295</v>
      </c>
      <c r="BC83" s="32">
        <v>108.29502613754843</v>
      </c>
      <c r="BD83" s="32">
        <v>0</v>
      </c>
      <c r="BE83" s="32">
        <v>1191.2452875130325</v>
      </c>
      <c r="BF83" s="32">
        <v>120.91877319549818</v>
      </c>
      <c r="BG83" s="32">
        <v>-12.389743573844914</v>
      </c>
      <c r="BH83" s="383">
        <v>9.8516157254346233</v>
      </c>
      <c r="BI83" s="32">
        <v>4.3176987165783007</v>
      </c>
      <c r="BJ83" s="32">
        <v>1.0690226802583738</v>
      </c>
      <c r="BK83" s="32">
        <v>8.918587330638351</v>
      </c>
      <c r="BL83" s="32">
        <v>12.706416360265518</v>
      </c>
      <c r="BM83" s="32">
        <v>27.01172508774054</v>
      </c>
      <c r="BN83" s="32">
        <v>792.20695275344133</v>
      </c>
      <c r="BO83" s="32">
        <v>0</v>
      </c>
      <c r="BP83" s="32">
        <v>290.74330862204295</v>
      </c>
      <c r="BQ83" s="32">
        <v>0</v>
      </c>
      <c r="BR83" s="32">
        <v>0</v>
      </c>
      <c r="BS83" s="32">
        <v>0</v>
      </c>
      <c r="BT83" s="32">
        <v>0</v>
      </c>
      <c r="BU83" s="32">
        <v>0</v>
      </c>
      <c r="BV83" s="32">
        <v>0</v>
      </c>
      <c r="BW83" s="32">
        <v>108.29502613754843</v>
      </c>
      <c r="BX83" s="32">
        <v>606.34742710505145</v>
      </c>
      <c r="BY83" s="32"/>
      <c r="BZ83" s="32">
        <v>0</v>
      </c>
      <c r="CA83" s="32">
        <v>0</v>
      </c>
      <c r="CB83" s="32">
        <v>1191.2452875130325</v>
      </c>
      <c r="CC83" s="32">
        <v>606.34742710505145</v>
      </c>
      <c r="CD83" s="383">
        <v>1.9646249563563265</v>
      </c>
      <c r="CE83" s="32">
        <v>9.2352601170589477</v>
      </c>
      <c r="CF83" s="32">
        <v>15.691517582948913</v>
      </c>
      <c r="CG83" s="32">
        <v>0</v>
      </c>
      <c r="CH83" s="32">
        <v>15.691517582948913</v>
      </c>
      <c r="CI83" s="32">
        <v>0.7845722479088294</v>
      </c>
      <c r="CJ83" s="32">
        <v>0</v>
      </c>
      <c r="CK83" s="32">
        <v>0.7845722479088294</v>
      </c>
      <c r="CL83" s="32"/>
      <c r="CM83" s="32">
        <v>0</v>
      </c>
      <c r="CN83" s="32"/>
      <c r="CO83" s="32">
        <v>0</v>
      </c>
      <c r="CP83" s="32">
        <v>0</v>
      </c>
      <c r="CQ83" s="32">
        <v>0</v>
      </c>
      <c r="CR83" s="32">
        <v>0</v>
      </c>
      <c r="CS83" s="32">
        <v>0</v>
      </c>
      <c r="CT83" s="32">
        <v>0</v>
      </c>
      <c r="CU83" s="32">
        <v>200.20055971170177</v>
      </c>
      <c r="CV83" s="32">
        <v>9999</v>
      </c>
      <c r="CW83" s="384">
        <v>0</v>
      </c>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row>
    <row r="84" spans="1:131">
      <c r="A84" s="11"/>
      <c r="B84" s="1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row>
    <row r="85" spans="1:131">
      <c r="A85" s="11"/>
      <c r="B85" s="11"/>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row>
    <row r="86" spans="1:131" ht="13.5" thickBot="1">
      <c r="A86" s="368" t="s">
        <v>612</v>
      </c>
      <c r="B86" s="370"/>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row>
    <row r="87" spans="1:131" ht="26.25" thickBot="1">
      <c r="A87" s="373" t="s">
        <v>291</v>
      </c>
      <c r="B87" s="374"/>
      <c r="C87" s="375" t="s">
        <v>292</v>
      </c>
      <c r="D87" s="376"/>
      <c r="E87" s="376"/>
      <c r="F87" s="376"/>
      <c r="G87" s="376"/>
      <c r="H87" s="376"/>
      <c r="I87" s="376"/>
      <c r="J87" s="376"/>
      <c r="K87" s="377"/>
      <c r="L87" s="375" t="s">
        <v>102</v>
      </c>
      <c r="M87" s="376"/>
      <c r="N87" s="376"/>
      <c r="O87" s="376"/>
      <c r="P87" s="376"/>
      <c r="Q87" s="377"/>
      <c r="R87" s="375" t="s">
        <v>293</v>
      </c>
      <c r="S87" s="376"/>
      <c r="T87" s="376"/>
      <c r="U87" s="377"/>
      <c r="V87" s="375" t="s">
        <v>294</v>
      </c>
      <c r="W87" s="376"/>
      <c r="X87" s="376"/>
      <c r="Y87" s="377"/>
      <c r="Z87" s="375" t="s">
        <v>295</v>
      </c>
      <c r="AA87" s="376"/>
      <c r="AB87" s="376"/>
      <c r="AC87" s="377"/>
      <c r="AD87" s="375" t="s">
        <v>296</v>
      </c>
      <c r="AE87" s="376"/>
      <c r="AF87" s="376"/>
      <c r="AG87" s="377"/>
      <c r="AH87" s="375" t="s">
        <v>297</v>
      </c>
      <c r="AI87" s="376"/>
      <c r="AJ87" s="376"/>
      <c r="AK87" s="376"/>
      <c r="AL87" s="377"/>
      <c r="AM87" s="375" t="s">
        <v>298</v>
      </c>
      <c r="AN87" s="376"/>
      <c r="AO87" s="376"/>
      <c r="AP87" s="376"/>
      <c r="AQ87" s="376"/>
      <c r="AR87" s="376"/>
      <c r="AS87" s="377"/>
      <c r="AT87" s="375" t="s">
        <v>299</v>
      </c>
      <c r="AU87" s="376"/>
      <c r="AV87" s="376"/>
      <c r="AW87" s="376"/>
      <c r="AX87" s="376"/>
      <c r="AY87" s="376"/>
      <c r="AZ87" s="377"/>
      <c r="BA87" s="375" t="s">
        <v>300</v>
      </c>
      <c r="BB87" s="376"/>
      <c r="BC87" s="376"/>
      <c r="BD87" s="376"/>
      <c r="BE87" s="376"/>
      <c r="BF87" s="377"/>
      <c r="BG87" s="375" t="s">
        <v>301</v>
      </c>
      <c r="BH87" s="377"/>
      <c r="BI87" s="375" t="s">
        <v>302</v>
      </c>
      <c r="BJ87" s="376"/>
      <c r="BK87" s="376"/>
      <c r="BL87" s="376"/>
      <c r="BM87" s="377"/>
      <c r="BN87" s="375" t="s">
        <v>303</v>
      </c>
      <c r="BO87" s="376"/>
      <c r="BP87" s="376"/>
      <c r="BQ87" s="376"/>
      <c r="BR87" s="376"/>
      <c r="BS87" s="376"/>
      <c r="BT87" s="376"/>
      <c r="BU87" s="376"/>
      <c r="BV87" s="376"/>
      <c r="BW87" s="376"/>
      <c r="BX87" s="376"/>
      <c r="BY87" s="376"/>
      <c r="BZ87" s="376"/>
      <c r="CA87" s="376"/>
      <c r="CB87" s="376"/>
      <c r="CC87" s="377"/>
      <c r="CD87" s="375" t="s">
        <v>304</v>
      </c>
      <c r="CE87" s="377"/>
      <c r="CF87" s="375" t="s">
        <v>305</v>
      </c>
      <c r="CG87" s="376"/>
      <c r="CH87" s="376"/>
      <c r="CI87" s="376"/>
      <c r="CJ87" s="376"/>
      <c r="CK87" s="377"/>
      <c r="CL87" s="378"/>
      <c r="CM87" s="375" t="s">
        <v>15</v>
      </c>
      <c r="CN87" s="376"/>
      <c r="CO87" s="376"/>
      <c r="CP87" s="377"/>
      <c r="CQ87" s="375" t="s">
        <v>306</v>
      </c>
      <c r="CR87" s="376"/>
      <c r="CS87" s="376"/>
      <c r="CT87" s="376"/>
      <c r="CU87" s="377"/>
      <c r="CV87" s="375" t="s">
        <v>307</v>
      </c>
      <c r="CW87" s="377"/>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row>
    <row r="88" spans="1:131" ht="127.5">
      <c r="A88" s="379" t="s">
        <v>308</v>
      </c>
      <c r="B88" s="380" t="s">
        <v>309</v>
      </c>
      <c r="C88" s="381" t="s">
        <v>8</v>
      </c>
      <c r="D88" s="381" t="s">
        <v>310</v>
      </c>
      <c r="E88" s="381" t="s">
        <v>311</v>
      </c>
      <c r="F88" s="381" t="s">
        <v>312</v>
      </c>
      <c r="G88" s="381" t="s">
        <v>313</v>
      </c>
      <c r="H88" s="381" t="s">
        <v>314</v>
      </c>
      <c r="I88" s="381" t="s">
        <v>315</v>
      </c>
      <c r="J88" s="381" t="s">
        <v>316</v>
      </c>
      <c r="K88" s="381" t="s">
        <v>317</v>
      </c>
      <c r="L88" s="381" t="s">
        <v>318</v>
      </c>
      <c r="M88" s="381" t="s">
        <v>319</v>
      </c>
      <c r="N88" s="381" t="s">
        <v>320</v>
      </c>
      <c r="O88" s="381" t="s">
        <v>321</v>
      </c>
      <c r="P88" s="381" t="s">
        <v>322</v>
      </c>
      <c r="Q88" s="381" t="s">
        <v>323</v>
      </c>
      <c r="R88" s="381" t="s">
        <v>324</v>
      </c>
      <c r="S88" s="381" t="s">
        <v>325</v>
      </c>
      <c r="T88" s="381" t="s">
        <v>326</v>
      </c>
      <c r="U88" s="381" t="s">
        <v>327</v>
      </c>
      <c r="V88" s="381" t="s">
        <v>324</v>
      </c>
      <c r="W88" s="381" t="s">
        <v>325</v>
      </c>
      <c r="X88" s="381" t="s">
        <v>326</v>
      </c>
      <c r="Y88" s="381" t="s">
        <v>327</v>
      </c>
      <c r="Z88" s="381" t="s">
        <v>324</v>
      </c>
      <c r="AA88" s="381" t="s">
        <v>325</v>
      </c>
      <c r="AB88" s="381" t="s">
        <v>326</v>
      </c>
      <c r="AC88" s="381" t="s">
        <v>327</v>
      </c>
      <c r="AD88" s="381" t="s">
        <v>324</v>
      </c>
      <c r="AE88" s="381" t="s">
        <v>325</v>
      </c>
      <c r="AF88" s="381" t="s">
        <v>326</v>
      </c>
      <c r="AG88" s="381" t="s">
        <v>327</v>
      </c>
      <c r="AH88" s="381" t="s">
        <v>324</v>
      </c>
      <c r="AI88" s="381" t="s">
        <v>325</v>
      </c>
      <c r="AJ88" s="381" t="s">
        <v>326</v>
      </c>
      <c r="AK88" s="381" t="s">
        <v>327</v>
      </c>
      <c r="AL88" s="381" t="s">
        <v>156</v>
      </c>
      <c r="AM88" s="381" t="s">
        <v>328</v>
      </c>
      <c r="AN88" s="381" t="s">
        <v>329</v>
      </c>
      <c r="AO88" s="381" t="s">
        <v>330</v>
      </c>
      <c r="AP88" s="381" t="s">
        <v>331</v>
      </c>
      <c r="AQ88" s="381" t="s">
        <v>332</v>
      </c>
      <c r="AR88" s="381" t="s">
        <v>333</v>
      </c>
      <c r="AS88" s="381" t="s">
        <v>334</v>
      </c>
      <c r="AT88" s="381" t="s">
        <v>335</v>
      </c>
      <c r="AU88" s="381" t="s">
        <v>336</v>
      </c>
      <c r="AV88" s="381" t="s">
        <v>337</v>
      </c>
      <c r="AW88" s="381" t="s">
        <v>338</v>
      </c>
      <c r="AX88" s="381" t="s">
        <v>339</v>
      </c>
      <c r="AY88" s="381" t="s">
        <v>340</v>
      </c>
      <c r="AZ88" s="381" t="s">
        <v>341</v>
      </c>
      <c r="BA88" s="381" t="s">
        <v>342</v>
      </c>
      <c r="BB88" s="381" t="s">
        <v>343</v>
      </c>
      <c r="BC88" s="381" t="s">
        <v>344</v>
      </c>
      <c r="BD88" s="381" t="s">
        <v>345</v>
      </c>
      <c r="BE88" s="381" t="s">
        <v>346</v>
      </c>
      <c r="BF88" s="381" t="s">
        <v>347</v>
      </c>
      <c r="BG88" s="381" t="s">
        <v>348</v>
      </c>
      <c r="BH88" s="381" t="s">
        <v>349</v>
      </c>
      <c r="BI88" s="381" t="s">
        <v>350</v>
      </c>
      <c r="BJ88" s="381" t="s">
        <v>351</v>
      </c>
      <c r="BK88" s="381" t="s">
        <v>352</v>
      </c>
      <c r="BL88" s="381" t="s">
        <v>353</v>
      </c>
      <c r="BM88" s="381" t="s">
        <v>354</v>
      </c>
      <c r="BN88" s="381" t="s">
        <v>355</v>
      </c>
      <c r="BO88" s="381" t="s">
        <v>356</v>
      </c>
      <c r="BP88" s="381" t="s">
        <v>357</v>
      </c>
      <c r="BQ88" s="381" t="s">
        <v>358</v>
      </c>
      <c r="BR88" s="381" t="s">
        <v>359</v>
      </c>
      <c r="BS88" s="381" t="s">
        <v>360</v>
      </c>
      <c r="BT88" s="381" t="s">
        <v>361</v>
      </c>
      <c r="BU88" s="381" t="s">
        <v>362</v>
      </c>
      <c r="BV88" s="381" t="s">
        <v>363</v>
      </c>
      <c r="BW88" s="381" t="s">
        <v>364</v>
      </c>
      <c r="BX88" s="381" t="s">
        <v>365</v>
      </c>
      <c r="BY88" s="381" t="s">
        <v>366</v>
      </c>
      <c r="BZ88" s="381" t="s">
        <v>367</v>
      </c>
      <c r="CA88" s="381" t="s">
        <v>368</v>
      </c>
      <c r="CB88" s="381" t="s">
        <v>369</v>
      </c>
      <c r="CC88" s="381" t="s">
        <v>370</v>
      </c>
      <c r="CD88" s="381" t="s">
        <v>371</v>
      </c>
      <c r="CE88" s="381" t="s">
        <v>372</v>
      </c>
      <c r="CF88" s="381" t="s">
        <v>373</v>
      </c>
      <c r="CG88" s="381" t="s">
        <v>374</v>
      </c>
      <c r="CH88" s="381" t="s">
        <v>375</v>
      </c>
      <c r="CI88" s="381" t="s">
        <v>608</v>
      </c>
      <c r="CJ88" s="381" t="s">
        <v>609</v>
      </c>
      <c r="CK88" s="381" t="s">
        <v>610</v>
      </c>
      <c r="CL88" s="381"/>
      <c r="CM88" s="381" t="s">
        <v>376</v>
      </c>
      <c r="CN88" s="381" t="s">
        <v>377</v>
      </c>
      <c r="CO88" s="381" t="s">
        <v>378</v>
      </c>
      <c r="CP88" s="381" t="s">
        <v>379</v>
      </c>
      <c r="CQ88" s="381" t="s">
        <v>380</v>
      </c>
      <c r="CR88" s="381" t="s">
        <v>381</v>
      </c>
      <c r="CS88" s="381" t="s">
        <v>382</v>
      </c>
      <c r="CT88" s="381" t="s">
        <v>383</v>
      </c>
      <c r="CU88" s="381" t="s">
        <v>384</v>
      </c>
      <c r="CV88" s="381" t="s">
        <v>385</v>
      </c>
      <c r="CW88" s="381" t="s">
        <v>386</v>
      </c>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row>
    <row r="89" spans="1:131">
      <c r="A89" s="11" t="s">
        <v>664</v>
      </c>
      <c r="B89" s="11"/>
      <c r="C89" s="32">
        <v>16.279069767441861</v>
      </c>
      <c r="D89" s="32">
        <v>305.29999999999995</v>
      </c>
      <c r="E89" s="32">
        <v>0</v>
      </c>
      <c r="F89" s="32">
        <v>-8.5918959509302795</v>
      </c>
      <c r="G89" s="32">
        <v>0</v>
      </c>
      <c r="H89" s="32">
        <v>0</v>
      </c>
      <c r="I89" s="32"/>
      <c r="J89" s="32"/>
      <c r="K89" s="32"/>
      <c r="L89" s="32">
        <v>345.42828990947618</v>
      </c>
      <c r="M89" s="32">
        <v>8.0741428992020942E-2</v>
      </c>
      <c r="N89" s="32">
        <v>7.6604771339678288E-2</v>
      </c>
      <c r="O89" s="32">
        <v>0</v>
      </c>
      <c r="P89" s="32">
        <v>0</v>
      </c>
      <c r="Q89" s="32">
        <v>0</v>
      </c>
      <c r="R89" s="32">
        <v>-1.713338827476222</v>
      </c>
      <c r="S89" s="32">
        <v>-0.42420701067138822</v>
      </c>
      <c r="T89" s="32">
        <v>-3.5390523894473516</v>
      </c>
      <c r="U89" s="32">
        <v>-5.0421296012461596</v>
      </c>
      <c r="V89" s="32">
        <v>-0.51551375705581681</v>
      </c>
      <c r="W89" s="32">
        <v>-0.12887843926395418</v>
      </c>
      <c r="X89" s="32">
        <v>-1.0739869938662849</v>
      </c>
      <c r="Y89" s="32">
        <v>0</v>
      </c>
      <c r="Z89" s="32">
        <v>0</v>
      </c>
      <c r="AA89" s="32">
        <v>0</v>
      </c>
      <c r="AB89" s="32">
        <v>0</v>
      </c>
      <c r="AC89" s="32">
        <v>0</v>
      </c>
      <c r="AD89" s="32">
        <v>0</v>
      </c>
      <c r="AE89" s="32">
        <v>0</v>
      </c>
      <c r="AF89" s="32">
        <v>0</v>
      </c>
      <c r="AG89" s="32">
        <v>0</v>
      </c>
      <c r="AH89" s="32">
        <v>-2.2288525845320386</v>
      </c>
      <c r="AI89" s="32">
        <v>-0.55308544993534237</v>
      </c>
      <c r="AJ89" s="32">
        <v>-4.6130393833136365</v>
      </c>
      <c r="AK89" s="32">
        <v>-5.0421296012461596</v>
      </c>
      <c r="AL89" s="32">
        <v>-12.437107019027177</v>
      </c>
      <c r="AM89" s="32">
        <v>165.67509173930594</v>
      </c>
      <c r="AN89" s="32">
        <v>28.529861608575583</v>
      </c>
      <c r="AO89" s="32">
        <v>19.42049533478815</v>
      </c>
      <c r="AP89" s="32">
        <v>0</v>
      </c>
      <c r="AQ89" s="32">
        <v>213.62544868266966</v>
      </c>
      <c r="AR89" s="32">
        <v>-2.2288525845320386</v>
      </c>
      <c r="AS89" s="383">
        <v>9999</v>
      </c>
      <c r="AT89" s="32">
        <v>165.67509173930594</v>
      </c>
      <c r="AU89" s="32">
        <v>32.273599104723516</v>
      </c>
      <c r="AV89" s="32">
        <v>19.794869084402944</v>
      </c>
      <c r="AW89" s="32">
        <v>0</v>
      </c>
      <c r="AX89" s="32">
        <v>217.74355992843238</v>
      </c>
      <c r="AY89" s="32">
        <v>-0.55308544993534237</v>
      </c>
      <c r="AZ89" s="383">
        <v>9999</v>
      </c>
      <c r="BA89" s="32">
        <v>165.67509173930594</v>
      </c>
      <c r="BB89" s="32">
        <v>60.803460713299103</v>
      </c>
      <c r="BC89" s="32">
        <v>22.647855245260505</v>
      </c>
      <c r="BD89" s="32">
        <v>0</v>
      </c>
      <c r="BE89" s="32">
        <v>249.12640769786552</v>
      </c>
      <c r="BF89" s="32">
        <v>-2.7819380344673812</v>
      </c>
      <c r="BG89" s="32">
        <v>-18.369062264711971</v>
      </c>
      <c r="BH89" s="383">
        <v>9999</v>
      </c>
      <c r="BI89" s="32">
        <v>-0.4747812474691479</v>
      </c>
      <c r="BJ89" s="32">
        <v>-0.11781604656122655</v>
      </c>
      <c r="BK89" s="32">
        <v>-0.98265116689796694</v>
      </c>
      <c r="BL89" s="32">
        <v>-1.0740542459354192</v>
      </c>
      <c r="BM89" s="32">
        <v>-2.6493027068637605</v>
      </c>
      <c r="BN89" s="32">
        <v>165.67509173930594</v>
      </c>
      <c r="BO89" s="32">
        <v>0</v>
      </c>
      <c r="BP89" s="32">
        <v>60.803460713299103</v>
      </c>
      <c r="BQ89" s="32">
        <v>0</v>
      </c>
      <c r="BR89" s="32">
        <v>0</v>
      </c>
      <c r="BS89" s="32">
        <v>0</v>
      </c>
      <c r="BT89" s="32">
        <v>0</v>
      </c>
      <c r="BU89" s="32">
        <v>0</v>
      </c>
      <c r="BV89" s="32">
        <v>0</v>
      </c>
      <c r="BW89" s="32">
        <v>22.647855245260505</v>
      </c>
      <c r="BX89" s="32">
        <v>-10.718727828841121</v>
      </c>
      <c r="BY89" s="32">
        <v>-1.7183791901860559</v>
      </c>
      <c r="BZ89" s="32">
        <v>0</v>
      </c>
      <c r="CA89" s="32">
        <v>0</v>
      </c>
      <c r="CB89" s="32">
        <v>249.12640769786555</v>
      </c>
      <c r="CC89" s="32">
        <v>-12.437107019027177</v>
      </c>
      <c r="CD89" s="383">
        <v>9999</v>
      </c>
      <c r="CE89" s="32">
        <v>-20.425767677545362</v>
      </c>
      <c r="CF89" s="32">
        <v>3.2815839422367321</v>
      </c>
      <c r="CG89" s="32">
        <v>0</v>
      </c>
      <c r="CH89" s="32">
        <v>3.2815839422367321</v>
      </c>
      <c r="CI89" s="32">
        <v>0.16407843770700115</v>
      </c>
      <c r="CJ89" s="32">
        <v>0</v>
      </c>
      <c r="CK89" s="32">
        <v>0.16407843770700115</v>
      </c>
      <c r="CL89" s="32"/>
      <c r="CM89" s="32">
        <v>0</v>
      </c>
      <c r="CN89" s="32"/>
      <c r="CO89" s="32">
        <v>0</v>
      </c>
      <c r="CP89" s="32">
        <v>0</v>
      </c>
      <c r="CQ89" s="32">
        <v>0</v>
      </c>
      <c r="CR89" s="32">
        <v>0</v>
      </c>
      <c r="CS89" s="32">
        <v>0</v>
      </c>
      <c r="CT89" s="32">
        <v>0</v>
      </c>
      <c r="CU89" s="32">
        <v>-4.6130393833136365</v>
      </c>
      <c r="CV89" s="32">
        <v>9999</v>
      </c>
      <c r="CW89" s="383">
        <v>9999</v>
      </c>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row>
    <row r="90" spans="1:131">
      <c r="A90" s="11" t="s">
        <v>666</v>
      </c>
      <c r="B90" s="11"/>
      <c r="C90" s="32">
        <v>16.279069767441861</v>
      </c>
      <c r="D90" s="32">
        <v>666.5</v>
      </c>
      <c r="E90" s="32">
        <v>0</v>
      </c>
      <c r="F90" s="32">
        <v>2.0115772129567233</v>
      </c>
      <c r="G90" s="32">
        <v>0</v>
      </c>
      <c r="H90" s="32">
        <v>0</v>
      </c>
      <c r="I90" s="32"/>
      <c r="J90" s="32"/>
      <c r="K90" s="32"/>
      <c r="L90" s="32">
        <v>754.1040131826594</v>
      </c>
      <c r="M90" s="32">
        <v>0.1762664999121584</v>
      </c>
      <c r="N90" s="32">
        <v>0.16723576841760757</v>
      </c>
      <c r="O90" s="32">
        <v>0</v>
      </c>
      <c r="P90" s="32">
        <v>0</v>
      </c>
      <c r="Q90" s="32">
        <v>0</v>
      </c>
      <c r="R90" s="32">
        <v>0.40113536792213955</v>
      </c>
      <c r="S90" s="32">
        <v>9.9317445313180402E-2</v>
      </c>
      <c r="T90" s="32">
        <v>0.82858046497892279</v>
      </c>
      <c r="U90" s="32">
        <v>1.1804883425692743</v>
      </c>
      <c r="V90" s="32">
        <v>0.1206946327774034</v>
      </c>
      <c r="W90" s="32">
        <v>3.0173658194350843E-2</v>
      </c>
      <c r="X90" s="32">
        <v>0.25144715161959041</v>
      </c>
      <c r="Y90" s="32">
        <v>0</v>
      </c>
      <c r="Z90" s="32">
        <v>0</v>
      </c>
      <c r="AA90" s="32">
        <v>0</v>
      </c>
      <c r="AB90" s="32">
        <v>0</v>
      </c>
      <c r="AC90" s="32">
        <v>0</v>
      </c>
      <c r="AD90" s="32">
        <v>0</v>
      </c>
      <c r="AE90" s="32">
        <v>0</v>
      </c>
      <c r="AF90" s="32">
        <v>0</v>
      </c>
      <c r="AG90" s="32">
        <v>0</v>
      </c>
      <c r="AH90" s="32">
        <v>0.521830000699543</v>
      </c>
      <c r="AI90" s="32">
        <v>0.12949110350753124</v>
      </c>
      <c r="AJ90" s="32">
        <v>1.0800276165985132</v>
      </c>
      <c r="AK90" s="32">
        <v>1.1804883425692743</v>
      </c>
      <c r="AL90" s="32">
        <v>2.9118370633748616</v>
      </c>
      <c r="AM90" s="32">
        <v>361.68505943087922</v>
      </c>
      <c r="AN90" s="32">
        <v>62.283500694777707</v>
      </c>
      <c r="AO90" s="32">
        <v>42.396856012565692</v>
      </c>
      <c r="AP90" s="32">
        <v>0</v>
      </c>
      <c r="AQ90" s="32">
        <v>466.36541613822266</v>
      </c>
      <c r="AR90" s="32">
        <v>0.521830000699543</v>
      </c>
      <c r="AS90" s="383">
        <v>893.71139166593161</v>
      </c>
      <c r="AT90" s="32">
        <v>361.68505943087922</v>
      </c>
      <c r="AU90" s="32">
        <v>70.456448749748532</v>
      </c>
      <c r="AV90" s="32">
        <v>43.214150818062777</v>
      </c>
      <c r="AW90" s="32">
        <v>0</v>
      </c>
      <c r="AX90" s="32">
        <v>475.3556589986905</v>
      </c>
      <c r="AY90" s="32">
        <v>0.12949110350753124</v>
      </c>
      <c r="AZ90" s="383">
        <v>3670.9522594426239</v>
      </c>
      <c r="BA90" s="32">
        <v>361.68505943087922</v>
      </c>
      <c r="BB90" s="32">
        <v>132.73994944452625</v>
      </c>
      <c r="BC90" s="32">
        <v>49.442500887540547</v>
      </c>
      <c r="BD90" s="32">
        <v>0</v>
      </c>
      <c r="BE90" s="32">
        <v>543.86750976294604</v>
      </c>
      <c r="BF90" s="32">
        <v>0.65132110420707423</v>
      </c>
      <c r="BG90" s="32">
        <v>-17.712912269680494</v>
      </c>
      <c r="BH90" s="383">
        <v>835.02209010263311</v>
      </c>
      <c r="BI90" s="32">
        <v>5.0917597777272942E-2</v>
      </c>
      <c r="BJ90" s="32">
        <v>1.2635103223833233E-2</v>
      </c>
      <c r="BK90" s="32">
        <v>0.10538376807885591</v>
      </c>
      <c r="BL90" s="32">
        <v>0.11518623024188754</v>
      </c>
      <c r="BM90" s="32">
        <v>0.28412269932184958</v>
      </c>
      <c r="BN90" s="32">
        <v>361.68505943087922</v>
      </c>
      <c r="BO90" s="32">
        <v>0</v>
      </c>
      <c r="BP90" s="32">
        <v>132.73994944452625</v>
      </c>
      <c r="BQ90" s="32">
        <v>0</v>
      </c>
      <c r="BR90" s="32">
        <v>0</v>
      </c>
      <c r="BS90" s="32">
        <v>0</v>
      </c>
      <c r="BT90" s="32">
        <v>0</v>
      </c>
      <c r="BU90" s="32">
        <v>0</v>
      </c>
      <c r="BV90" s="32">
        <v>0</v>
      </c>
      <c r="BW90" s="32">
        <v>49.442500887540547</v>
      </c>
      <c r="BX90" s="32">
        <v>2.5095216207835169</v>
      </c>
      <c r="BY90" s="32">
        <v>0.40231544259134466</v>
      </c>
      <c r="BZ90" s="32">
        <v>0</v>
      </c>
      <c r="CA90" s="32">
        <v>0</v>
      </c>
      <c r="CB90" s="32">
        <v>543.86750976294604</v>
      </c>
      <c r="CC90" s="32">
        <v>2.9118370633748616</v>
      </c>
      <c r="CD90" s="383">
        <v>186.77813968498486</v>
      </c>
      <c r="CE90" s="32">
        <v>-17.49234227135976</v>
      </c>
      <c r="CF90" s="32">
        <v>7.1640212823477789</v>
      </c>
      <c r="CG90" s="32">
        <v>0</v>
      </c>
      <c r="CH90" s="32">
        <v>7.1640212823477789</v>
      </c>
      <c r="CI90" s="32">
        <v>0.35819940626176316</v>
      </c>
      <c r="CJ90" s="32">
        <v>0</v>
      </c>
      <c r="CK90" s="32">
        <v>0.35819940626176316</v>
      </c>
      <c r="CL90" s="32"/>
      <c r="CM90" s="32">
        <v>0</v>
      </c>
      <c r="CN90" s="32"/>
      <c r="CO90" s="32">
        <v>0</v>
      </c>
      <c r="CP90" s="32">
        <v>0</v>
      </c>
      <c r="CQ90" s="32">
        <v>0</v>
      </c>
      <c r="CR90" s="32">
        <v>0</v>
      </c>
      <c r="CS90" s="32">
        <v>0</v>
      </c>
      <c r="CT90" s="32">
        <v>0</v>
      </c>
      <c r="CU90" s="32">
        <v>1.0800276165985132</v>
      </c>
      <c r="CV90" s="32">
        <v>9999</v>
      </c>
      <c r="CW90" s="384">
        <v>0</v>
      </c>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row>
    <row r="91" spans="1:131">
      <c r="A91" s="11" t="s">
        <v>665</v>
      </c>
      <c r="B91" s="11"/>
      <c r="C91" s="32">
        <v>16.279069767441861</v>
      </c>
      <c r="D91" s="32">
        <v>408.5</v>
      </c>
      <c r="E91" s="32">
        <v>0</v>
      </c>
      <c r="F91" s="32">
        <v>2.0115772129567233</v>
      </c>
      <c r="G91" s="32">
        <v>0</v>
      </c>
      <c r="H91" s="32">
        <v>0</v>
      </c>
      <c r="I91" s="32"/>
      <c r="J91" s="32"/>
      <c r="K91" s="32"/>
      <c r="L91" s="32">
        <v>462.19278227324287</v>
      </c>
      <c r="M91" s="32">
        <v>0.10803430639777449</v>
      </c>
      <c r="N91" s="32">
        <v>0.10249934193337237</v>
      </c>
      <c r="O91" s="32">
        <v>0</v>
      </c>
      <c r="P91" s="32">
        <v>0</v>
      </c>
      <c r="Q91" s="32">
        <v>0</v>
      </c>
      <c r="R91" s="32">
        <v>0.40113536792213955</v>
      </c>
      <c r="S91" s="32">
        <v>9.9317445313180402E-2</v>
      </c>
      <c r="T91" s="32">
        <v>0.82858046497892279</v>
      </c>
      <c r="U91" s="32">
        <v>1.1804883425692743</v>
      </c>
      <c r="V91" s="32">
        <v>0.1206946327774034</v>
      </c>
      <c r="W91" s="32">
        <v>3.0173658194350843E-2</v>
      </c>
      <c r="X91" s="32">
        <v>0.25144715161959041</v>
      </c>
      <c r="Y91" s="32">
        <v>0</v>
      </c>
      <c r="Z91" s="32">
        <v>0</v>
      </c>
      <c r="AA91" s="32">
        <v>0</v>
      </c>
      <c r="AB91" s="32">
        <v>0</v>
      </c>
      <c r="AC91" s="32">
        <v>0</v>
      </c>
      <c r="AD91" s="32">
        <v>0</v>
      </c>
      <c r="AE91" s="32">
        <v>0</v>
      </c>
      <c r="AF91" s="32">
        <v>0</v>
      </c>
      <c r="AG91" s="32">
        <v>0</v>
      </c>
      <c r="AH91" s="32">
        <v>0.521830000699543</v>
      </c>
      <c r="AI91" s="32">
        <v>0.12949110350753124</v>
      </c>
      <c r="AJ91" s="32">
        <v>1.0800276165985132</v>
      </c>
      <c r="AK91" s="32">
        <v>1.1804883425692743</v>
      </c>
      <c r="AL91" s="32">
        <v>2.9118370633748616</v>
      </c>
      <c r="AM91" s="32">
        <v>221.67793965118409</v>
      </c>
      <c r="AN91" s="32">
        <v>38.173758490347623</v>
      </c>
      <c r="AO91" s="32">
        <v>25.985169814153174</v>
      </c>
      <c r="AP91" s="32">
        <v>0</v>
      </c>
      <c r="AQ91" s="32">
        <v>285.83686795568485</v>
      </c>
      <c r="AR91" s="32">
        <v>0.521830000699543</v>
      </c>
      <c r="AS91" s="383">
        <v>547.75859489202264</v>
      </c>
      <c r="AT91" s="32">
        <v>221.67793965118409</v>
      </c>
      <c r="AU91" s="32">
        <v>43.182984717587814</v>
      </c>
      <c r="AV91" s="32">
        <v>26.486092436877193</v>
      </c>
      <c r="AW91" s="32">
        <v>0</v>
      </c>
      <c r="AX91" s="32">
        <v>291.3470168056491</v>
      </c>
      <c r="AY91" s="32">
        <v>0.12949110350753124</v>
      </c>
      <c r="AZ91" s="383">
        <v>2249.938481593867</v>
      </c>
      <c r="BA91" s="32">
        <v>221.67793965118409</v>
      </c>
      <c r="BB91" s="32">
        <v>81.356743207935438</v>
      </c>
      <c r="BC91" s="32">
        <v>30.303468285911954</v>
      </c>
      <c r="BD91" s="32">
        <v>0</v>
      </c>
      <c r="BE91" s="32">
        <v>333.33815114503147</v>
      </c>
      <c r="BF91" s="32">
        <v>0.65132110420707423</v>
      </c>
      <c r="BG91" s="32">
        <v>-17.6727737216798</v>
      </c>
      <c r="BH91" s="383">
        <v>511.78773264354936</v>
      </c>
      <c r="BI91" s="32">
        <v>8.3076080583971645E-2</v>
      </c>
      <c r="BJ91" s="32">
        <v>2.0615168417833171E-2</v>
      </c>
      <c r="BK91" s="32">
        <v>0.17194193739181754</v>
      </c>
      <c r="BL91" s="32">
        <v>0.18793542828939547</v>
      </c>
      <c r="BM91" s="32">
        <v>0.46356861468301774</v>
      </c>
      <c r="BN91" s="32">
        <v>221.67793965118409</v>
      </c>
      <c r="BO91" s="32">
        <v>0</v>
      </c>
      <c r="BP91" s="32">
        <v>81.356743207935438</v>
      </c>
      <c r="BQ91" s="32">
        <v>0</v>
      </c>
      <c r="BR91" s="32">
        <v>0</v>
      </c>
      <c r="BS91" s="32">
        <v>0</v>
      </c>
      <c r="BT91" s="32">
        <v>0</v>
      </c>
      <c r="BU91" s="32">
        <v>0</v>
      </c>
      <c r="BV91" s="32">
        <v>0</v>
      </c>
      <c r="BW91" s="32">
        <v>30.303468285911954</v>
      </c>
      <c r="BX91" s="32">
        <v>2.5095216207835169</v>
      </c>
      <c r="BY91" s="32">
        <v>0.40231544259134466</v>
      </c>
      <c r="BZ91" s="32">
        <v>0</v>
      </c>
      <c r="CA91" s="32">
        <v>0</v>
      </c>
      <c r="CB91" s="32">
        <v>333.33815114503147</v>
      </c>
      <c r="CC91" s="32">
        <v>2.9118370633748616</v>
      </c>
      <c r="CD91" s="383">
        <v>114.47692432305526</v>
      </c>
      <c r="CE91" s="32">
        <v>-17.312896355998582</v>
      </c>
      <c r="CF91" s="32">
        <v>4.3908517536970244</v>
      </c>
      <c r="CG91" s="32">
        <v>0</v>
      </c>
      <c r="CH91" s="32">
        <v>4.3908517536970244</v>
      </c>
      <c r="CI91" s="32">
        <v>0.21954157157979032</v>
      </c>
      <c r="CJ91" s="32">
        <v>0</v>
      </c>
      <c r="CK91" s="32">
        <v>0.21954157157979032</v>
      </c>
      <c r="CL91" s="32"/>
      <c r="CM91" s="32">
        <v>0</v>
      </c>
      <c r="CN91" s="32"/>
      <c r="CO91" s="32">
        <v>0</v>
      </c>
      <c r="CP91" s="32">
        <v>0</v>
      </c>
      <c r="CQ91" s="32">
        <v>0</v>
      </c>
      <c r="CR91" s="32">
        <v>0</v>
      </c>
      <c r="CS91" s="32">
        <v>0</v>
      </c>
      <c r="CT91" s="32">
        <v>0</v>
      </c>
      <c r="CU91" s="32">
        <v>1.0800276165985132</v>
      </c>
      <c r="CV91" s="32">
        <v>9999</v>
      </c>
      <c r="CW91" s="384">
        <v>0</v>
      </c>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row>
    <row r="92" spans="1:131">
      <c r="A92" s="11" t="s">
        <v>667</v>
      </c>
      <c r="B92" s="11"/>
      <c r="C92" s="32">
        <v>16.279069767441861</v>
      </c>
      <c r="D92" s="32">
        <v>1195.4000000000001</v>
      </c>
      <c r="E92" s="32">
        <v>0</v>
      </c>
      <c r="F92" s="32">
        <v>134.02315442591345</v>
      </c>
      <c r="G92" s="32">
        <v>0</v>
      </c>
      <c r="H92" s="32">
        <v>0</v>
      </c>
      <c r="I92" s="32"/>
      <c r="J92" s="32"/>
      <c r="K92" s="32"/>
      <c r="L92" s="32">
        <v>1352.5220365469634</v>
      </c>
      <c r="M92" s="32">
        <v>0.3161424966166454</v>
      </c>
      <c r="N92" s="32">
        <v>0.29994544271028972</v>
      </c>
      <c r="O92" s="32">
        <v>0</v>
      </c>
      <c r="P92" s="32">
        <v>0</v>
      </c>
      <c r="Q92" s="32">
        <v>0</v>
      </c>
      <c r="R92" s="32">
        <v>26.726007341126671</v>
      </c>
      <c r="S92" s="32">
        <v>6.617114781704359</v>
      </c>
      <c r="T92" s="32">
        <v>55.204924224081694</v>
      </c>
      <c r="U92" s="32">
        <v>78.651105418719141</v>
      </c>
      <c r="V92" s="32">
        <v>8.0413892655548072</v>
      </c>
      <c r="W92" s="32">
        <v>2.0103473163887013</v>
      </c>
      <c r="X92" s="32">
        <v>16.752894303239181</v>
      </c>
      <c r="Y92" s="32">
        <v>0</v>
      </c>
      <c r="Z92" s="32">
        <v>0</v>
      </c>
      <c r="AA92" s="32">
        <v>0</v>
      </c>
      <c r="AB92" s="32">
        <v>0</v>
      </c>
      <c r="AC92" s="32">
        <v>0</v>
      </c>
      <c r="AD92" s="32">
        <v>0</v>
      </c>
      <c r="AE92" s="32">
        <v>0</v>
      </c>
      <c r="AF92" s="32">
        <v>0</v>
      </c>
      <c r="AG92" s="32">
        <v>0</v>
      </c>
      <c r="AH92" s="32">
        <v>34.76739660668148</v>
      </c>
      <c r="AI92" s="32">
        <v>8.6274620980930603</v>
      </c>
      <c r="AJ92" s="32">
        <v>71.957818527320882</v>
      </c>
      <c r="AK92" s="32">
        <v>78.651105418719141</v>
      </c>
      <c r="AL92" s="32">
        <v>194.00378265081457</v>
      </c>
      <c r="AM92" s="32">
        <v>648.69965497925489</v>
      </c>
      <c r="AN92" s="32">
        <v>111.70847221385941</v>
      </c>
      <c r="AO92" s="32">
        <v>76.040812719311432</v>
      </c>
      <c r="AP92" s="32">
        <v>0</v>
      </c>
      <c r="AQ92" s="32">
        <v>836.44893991242577</v>
      </c>
      <c r="AR92" s="32">
        <v>34.76739660668148</v>
      </c>
      <c r="AS92" s="383">
        <v>24.05842891761645</v>
      </c>
      <c r="AT92" s="32">
        <v>648.69965497925489</v>
      </c>
      <c r="AU92" s="32">
        <v>126.36705001567803</v>
      </c>
      <c r="AV92" s="32">
        <v>77.506670499493296</v>
      </c>
      <c r="AW92" s="32">
        <v>0</v>
      </c>
      <c r="AX92" s="32">
        <v>852.57337549442627</v>
      </c>
      <c r="AY92" s="32">
        <v>8.6274620980930603</v>
      </c>
      <c r="AZ92" s="383">
        <v>98.820877542060913</v>
      </c>
      <c r="BA92" s="32">
        <v>648.69965497925489</v>
      </c>
      <c r="BB92" s="32">
        <v>238.07552222953746</v>
      </c>
      <c r="BC92" s="32">
        <v>88.677517720879237</v>
      </c>
      <c r="BD92" s="32">
        <v>0</v>
      </c>
      <c r="BE92" s="32">
        <v>975.45269492967157</v>
      </c>
      <c r="BF92" s="32">
        <v>43.394858704774542</v>
      </c>
      <c r="BG92" s="32">
        <v>-15.415638623694418</v>
      </c>
      <c r="BH92" s="383">
        <v>22.478531421565542</v>
      </c>
      <c r="BI92" s="32">
        <v>1.891463375502958</v>
      </c>
      <c r="BJ92" s="32">
        <v>0.469362971484235</v>
      </c>
      <c r="BK92" s="32">
        <v>3.9147474821096995</v>
      </c>
      <c r="BL92" s="32">
        <v>4.2788848134156874</v>
      </c>
      <c r="BM92" s="32">
        <v>10.55445864251258</v>
      </c>
      <c r="BN92" s="32">
        <v>648.69965497925489</v>
      </c>
      <c r="BO92" s="32">
        <v>0</v>
      </c>
      <c r="BP92" s="32">
        <v>238.07552222953746</v>
      </c>
      <c r="BQ92" s="32">
        <v>0</v>
      </c>
      <c r="BR92" s="32">
        <v>0</v>
      </c>
      <c r="BS92" s="32">
        <v>0</v>
      </c>
      <c r="BT92" s="32">
        <v>0</v>
      </c>
      <c r="BU92" s="32">
        <v>0</v>
      </c>
      <c r="BV92" s="32">
        <v>0</v>
      </c>
      <c r="BW92" s="32">
        <v>88.677517720879237</v>
      </c>
      <c r="BX92" s="32">
        <v>167.19915176563188</v>
      </c>
      <c r="BY92" s="32">
        <v>26.804630885182689</v>
      </c>
      <c r="BZ92" s="32">
        <v>0</v>
      </c>
      <c r="CA92" s="32">
        <v>0</v>
      </c>
      <c r="CB92" s="32">
        <v>975.45269492967157</v>
      </c>
      <c r="CC92" s="32">
        <v>194.00378265081457</v>
      </c>
      <c r="CD92" s="383">
        <v>5.0280086377768152</v>
      </c>
      <c r="CE92" s="32">
        <v>-7.2220063281690328</v>
      </c>
      <c r="CF92" s="32">
        <v>12.849018816081845</v>
      </c>
      <c r="CG92" s="32">
        <v>0</v>
      </c>
      <c r="CH92" s="32">
        <v>12.849018816081845</v>
      </c>
      <c r="CI92" s="32">
        <v>0.64244796735980758</v>
      </c>
      <c r="CJ92" s="32">
        <v>0</v>
      </c>
      <c r="CK92" s="32">
        <v>0.64244796735980758</v>
      </c>
      <c r="CL92" s="32"/>
      <c r="CM92" s="32">
        <v>0</v>
      </c>
      <c r="CN92" s="32"/>
      <c r="CO92" s="32">
        <v>0</v>
      </c>
      <c r="CP92" s="32">
        <v>0</v>
      </c>
      <c r="CQ92" s="32">
        <v>0</v>
      </c>
      <c r="CR92" s="32">
        <v>0</v>
      </c>
      <c r="CS92" s="32">
        <v>0</v>
      </c>
      <c r="CT92" s="32">
        <v>0</v>
      </c>
      <c r="CU92" s="32">
        <v>71.957818527320882</v>
      </c>
      <c r="CV92" s="32">
        <v>9999</v>
      </c>
      <c r="CW92" s="384">
        <v>0</v>
      </c>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row>
    <row r="93" spans="1:131">
      <c r="A93" s="11" t="s">
        <v>668</v>
      </c>
      <c r="B93" s="11"/>
      <c r="C93" s="32">
        <v>16.279069767441861</v>
      </c>
      <c r="D93" s="32">
        <v>2919.7</v>
      </c>
      <c r="E93" s="32">
        <v>0</v>
      </c>
      <c r="F93" s="32">
        <v>532.0694632777404</v>
      </c>
      <c r="G93" s="32">
        <v>0</v>
      </c>
      <c r="H93" s="32">
        <v>0</v>
      </c>
      <c r="I93" s="32"/>
      <c r="J93" s="32"/>
      <c r="K93" s="32"/>
      <c r="L93" s="32">
        <v>3303.4620964582305</v>
      </c>
      <c r="M93" s="32">
        <v>0.77216098993777771</v>
      </c>
      <c r="N93" s="32">
        <v>0.73260055971326143</v>
      </c>
      <c r="O93" s="32">
        <v>0</v>
      </c>
      <c r="P93" s="32">
        <v>0</v>
      </c>
      <c r="Q93" s="32">
        <v>0</v>
      </c>
      <c r="R93" s="32">
        <v>106.10175862866241</v>
      </c>
      <c r="S93" s="32">
        <v>26.269824236191074</v>
      </c>
      <c r="T93" s="32">
        <v>219.16253596636892</v>
      </c>
      <c r="U93" s="32">
        <v>312.24344498973795</v>
      </c>
      <c r="V93" s="32">
        <v>31.924167796664424</v>
      </c>
      <c r="W93" s="32">
        <v>7.9810419491661042</v>
      </c>
      <c r="X93" s="32">
        <v>66.50868290971755</v>
      </c>
      <c r="Y93" s="32">
        <v>0</v>
      </c>
      <c r="Z93" s="32">
        <v>0</v>
      </c>
      <c r="AA93" s="32">
        <v>0</v>
      </c>
      <c r="AB93" s="32">
        <v>0</v>
      </c>
      <c r="AC93" s="32">
        <v>0</v>
      </c>
      <c r="AD93" s="32">
        <v>0</v>
      </c>
      <c r="AE93" s="32">
        <v>0</v>
      </c>
      <c r="AF93" s="32">
        <v>0</v>
      </c>
      <c r="AG93" s="32">
        <v>0</v>
      </c>
      <c r="AH93" s="32">
        <v>138.02592642532684</v>
      </c>
      <c r="AI93" s="32">
        <v>34.250866185357175</v>
      </c>
      <c r="AJ93" s="32">
        <v>285.67121887608647</v>
      </c>
      <c r="AK93" s="32">
        <v>312.24344498973795</v>
      </c>
      <c r="AL93" s="32">
        <v>770.19145647650839</v>
      </c>
      <c r="AM93" s="32">
        <v>1584.4139055068827</v>
      </c>
      <c r="AN93" s="32">
        <v>272.84191594680038</v>
      </c>
      <c r="AO93" s="32">
        <v>185.72558214536832</v>
      </c>
      <c r="AP93" s="32">
        <v>0</v>
      </c>
      <c r="AQ93" s="32">
        <v>2042.9814035990512</v>
      </c>
      <c r="AR93" s="32">
        <v>138.02592642532684</v>
      </c>
      <c r="AS93" s="383">
        <v>14.801432285291133</v>
      </c>
      <c r="AT93" s="32">
        <v>1584.4139055068827</v>
      </c>
      <c r="AU93" s="32">
        <v>308.64470129728545</v>
      </c>
      <c r="AV93" s="32">
        <v>189.30586068041683</v>
      </c>
      <c r="AW93" s="32">
        <v>0</v>
      </c>
      <c r="AX93" s="32">
        <v>2082.364467484585</v>
      </c>
      <c r="AY93" s="32">
        <v>34.250866185357175</v>
      </c>
      <c r="AZ93" s="383">
        <v>60.797424982344857</v>
      </c>
      <c r="BA93" s="32">
        <v>1584.4139055068827</v>
      </c>
      <c r="BB93" s="32">
        <v>581.48661724408589</v>
      </c>
      <c r="BC93" s="32">
        <v>216.59005227509687</v>
      </c>
      <c r="BD93" s="32">
        <v>0</v>
      </c>
      <c r="BE93" s="32">
        <v>2382.490575026065</v>
      </c>
      <c r="BF93" s="32">
        <v>172.276792610684</v>
      </c>
      <c r="BG93" s="32">
        <v>-13.939148975778181</v>
      </c>
      <c r="BH93" s="383">
        <v>13.829434243125741</v>
      </c>
      <c r="BI93" s="32">
        <v>3.0744076851963693</v>
      </c>
      <c r="BJ93" s="32">
        <v>0.76290830970704138</v>
      </c>
      <c r="BK93" s="32">
        <v>6.3630783976458618</v>
      </c>
      <c r="BL93" s="32">
        <v>6.9549516658958153</v>
      </c>
      <c r="BM93" s="32">
        <v>17.155346058445087</v>
      </c>
      <c r="BN93" s="32">
        <v>1584.4139055068827</v>
      </c>
      <c r="BO93" s="32">
        <v>0</v>
      </c>
      <c r="BP93" s="32">
        <v>581.48661724408589</v>
      </c>
      <c r="BQ93" s="32">
        <v>0</v>
      </c>
      <c r="BR93" s="32">
        <v>0</v>
      </c>
      <c r="BS93" s="32">
        <v>0</v>
      </c>
      <c r="BT93" s="32">
        <v>0</v>
      </c>
      <c r="BU93" s="32">
        <v>0</v>
      </c>
      <c r="BV93" s="32">
        <v>0</v>
      </c>
      <c r="BW93" s="32">
        <v>216.59005227509687</v>
      </c>
      <c r="BX93" s="32">
        <v>663.77756382096027</v>
      </c>
      <c r="BY93" s="32">
        <v>106.41389265554808</v>
      </c>
      <c r="BZ93" s="32">
        <v>0</v>
      </c>
      <c r="CA93" s="32">
        <v>0</v>
      </c>
      <c r="CB93" s="32">
        <v>2382.490575026065</v>
      </c>
      <c r="CC93" s="32">
        <v>770.19145647650839</v>
      </c>
      <c r="CD93" s="383">
        <v>3.0933744525361835</v>
      </c>
      <c r="CE93" s="32">
        <v>-0.62111891223650506</v>
      </c>
      <c r="CF93" s="32">
        <v>31.383035165897827</v>
      </c>
      <c r="CG93" s="32">
        <v>0</v>
      </c>
      <c r="CH93" s="32">
        <v>31.383035165897827</v>
      </c>
      <c r="CI93" s="32">
        <v>1.5691444958176588</v>
      </c>
      <c r="CJ93" s="32">
        <v>0</v>
      </c>
      <c r="CK93" s="32">
        <v>1.5691444958176588</v>
      </c>
      <c r="CL93" s="32"/>
      <c r="CM93" s="32">
        <v>0</v>
      </c>
      <c r="CN93" s="32"/>
      <c r="CO93" s="32">
        <v>0</v>
      </c>
      <c r="CP93" s="32">
        <v>0</v>
      </c>
      <c r="CQ93" s="32">
        <v>0</v>
      </c>
      <c r="CR93" s="32">
        <v>0</v>
      </c>
      <c r="CS93" s="32">
        <v>0</v>
      </c>
      <c r="CT93" s="32">
        <v>0</v>
      </c>
      <c r="CU93" s="32">
        <v>285.67121887608647</v>
      </c>
      <c r="CV93" s="32">
        <v>9999</v>
      </c>
      <c r="CW93" s="384">
        <v>0</v>
      </c>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row>
    <row r="94" spans="1:131">
      <c r="A94" s="11" t="s">
        <v>671</v>
      </c>
      <c r="B94" s="11"/>
      <c r="C94" s="32">
        <v>16.279069767441861</v>
      </c>
      <c r="D94" s="32">
        <v>666.5</v>
      </c>
      <c r="E94" s="32">
        <v>0</v>
      </c>
      <c r="F94" s="32">
        <v>162.01157721295672</v>
      </c>
      <c r="G94" s="32">
        <v>0</v>
      </c>
      <c r="H94" s="32">
        <v>0</v>
      </c>
      <c r="I94" s="32"/>
      <c r="J94" s="32"/>
      <c r="K94" s="32"/>
      <c r="L94" s="32">
        <v>754.1040131826594</v>
      </c>
      <c r="M94" s="32">
        <v>0.1762664999121584</v>
      </c>
      <c r="N94" s="32">
        <v>0.16723576841760757</v>
      </c>
      <c r="O94" s="32">
        <v>0</v>
      </c>
      <c r="P94" s="32">
        <v>0</v>
      </c>
      <c r="Q94" s="32">
        <v>0</v>
      </c>
      <c r="R94" s="32">
        <v>32.307272728269702</v>
      </c>
      <c r="S94" s="32">
        <v>7.998985003563023</v>
      </c>
      <c r="T94" s="32">
        <v>66.733519903900572</v>
      </c>
      <c r="U94" s="32">
        <v>95.076031399283835</v>
      </c>
      <c r="V94" s="32">
        <v>9.7206946327774038</v>
      </c>
      <c r="W94" s="32">
        <v>2.4301736581943505</v>
      </c>
      <c r="X94" s="32">
        <v>20.25144715161959</v>
      </c>
      <c r="Y94" s="32">
        <v>0</v>
      </c>
      <c r="Z94" s="32">
        <v>0</v>
      </c>
      <c r="AA94" s="32">
        <v>0</v>
      </c>
      <c r="AB94" s="32">
        <v>0</v>
      </c>
      <c r="AC94" s="32">
        <v>0</v>
      </c>
      <c r="AD94" s="32">
        <v>0</v>
      </c>
      <c r="AE94" s="32">
        <v>0</v>
      </c>
      <c r="AF94" s="32">
        <v>0</v>
      </c>
      <c r="AG94" s="32">
        <v>0</v>
      </c>
      <c r="AH94" s="32">
        <v>42.027967361047104</v>
      </c>
      <c r="AI94" s="32">
        <v>10.429158661757373</v>
      </c>
      <c r="AJ94" s="32">
        <v>86.984967055520158</v>
      </c>
      <c r="AK94" s="32">
        <v>95.076031399283835</v>
      </c>
      <c r="AL94" s="32">
        <v>234.51812447760847</v>
      </c>
      <c r="AM94" s="32">
        <v>361.68505943087922</v>
      </c>
      <c r="AN94" s="32">
        <v>62.283500694777707</v>
      </c>
      <c r="AO94" s="32">
        <v>42.396856012565692</v>
      </c>
      <c r="AP94" s="32">
        <v>0</v>
      </c>
      <c r="AQ94" s="32">
        <v>466.36541613822266</v>
      </c>
      <c r="AR94" s="32">
        <v>42.027967361047104</v>
      </c>
      <c r="AS94" s="383">
        <v>11.096549403206813</v>
      </c>
      <c r="AT94" s="32">
        <v>361.68505943087922</v>
      </c>
      <c r="AU94" s="32">
        <v>70.456448749748532</v>
      </c>
      <c r="AV94" s="32">
        <v>43.214150818062777</v>
      </c>
      <c r="AW94" s="32">
        <v>0</v>
      </c>
      <c r="AX94" s="32">
        <v>475.3556589986905</v>
      </c>
      <c r="AY94" s="32">
        <v>10.429158661757373</v>
      </c>
      <c r="AZ94" s="383">
        <v>45.579482910905327</v>
      </c>
      <c r="BA94" s="32">
        <v>361.68505943087922</v>
      </c>
      <c r="BB94" s="32">
        <v>132.73994944452625</v>
      </c>
      <c r="BC94" s="32">
        <v>49.442500887540547</v>
      </c>
      <c r="BD94" s="32">
        <v>0</v>
      </c>
      <c r="BE94" s="32">
        <v>543.86750976294604</v>
      </c>
      <c r="BF94" s="32">
        <v>52.457126022804474</v>
      </c>
      <c r="BG94" s="32">
        <v>-12.657957334477748</v>
      </c>
      <c r="BH94" s="383">
        <v>10.367848012232175</v>
      </c>
      <c r="BI94" s="32">
        <v>4.1008817711082326</v>
      </c>
      <c r="BJ94" s="32">
        <v>1.0176258650956271</v>
      </c>
      <c r="BK94" s="32">
        <v>8.4875640711819891</v>
      </c>
      <c r="BL94" s="32">
        <v>9.2770502243228865</v>
      </c>
      <c r="BM94" s="32">
        <v>22.883121931708736</v>
      </c>
      <c r="BN94" s="32">
        <v>361.68505943087922</v>
      </c>
      <c r="BO94" s="32">
        <v>0</v>
      </c>
      <c r="BP94" s="32">
        <v>132.73994944452625</v>
      </c>
      <c r="BQ94" s="32">
        <v>0</v>
      </c>
      <c r="BR94" s="32">
        <v>0</v>
      </c>
      <c r="BS94" s="32">
        <v>0</v>
      </c>
      <c r="BT94" s="32">
        <v>0</v>
      </c>
      <c r="BU94" s="32">
        <v>0</v>
      </c>
      <c r="BV94" s="32">
        <v>0</v>
      </c>
      <c r="BW94" s="32">
        <v>49.442500887540547</v>
      </c>
      <c r="BX94" s="32">
        <v>202.11580903501712</v>
      </c>
      <c r="BY94" s="32">
        <v>32.402315442591345</v>
      </c>
      <c r="BZ94" s="32">
        <v>0</v>
      </c>
      <c r="CA94" s="32">
        <v>0</v>
      </c>
      <c r="CB94" s="32">
        <v>543.86750976294604</v>
      </c>
      <c r="CC94" s="32">
        <v>234.51812447760847</v>
      </c>
      <c r="CD94" s="383">
        <v>2.3190851921335143</v>
      </c>
      <c r="CE94" s="32">
        <v>5.1066569610271282</v>
      </c>
      <c r="CF94" s="32">
        <v>7.1640212823477789</v>
      </c>
      <c r="CG94" s="32">
        <v>0</v>
      </c>
      <c r="CH94" s="32">
        <v>7.1640212823477789</v>
      </c>
      <c r="CI94" s="32">
        <v>0.35819940626176316</v>
      </c>
      <c r="CJ94" s="32">
        <v>0</v>
      </c>
      <c r="CK94" s="32">
        <v>0.35819940626176316</v>
      </c>
      <c r="CL94" s="32"/>
      <c r="CM94" s="32">
        <v>0</v>
      </c>
      <c r="CN94" s="32"/>
      <c r="CO94" s="32">
        <v>0</v>
      </c>
      <c r="CP94" s="32">
        <v>0</v>
      </c>
      <c r="CQ94" s="32">
        <v>0</v>
      </c>
      <c r="CR94" s="32">
        <v>0</v>
      </c>
      <c r="CS94" s="32">
        <v>0</v>
      </c>
      <c r="CT94" s="32">
        <v>0</v>
      </c>
      <c r="CU94" s="32">
        <v>86.984967055520158</v>
      </c>
      <c r="CV94" s="32">
        <v>9999</v>
      </c>
      <c r="CW94" s="384">
        <v>0</v>
      </c>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row>
    <row r="95" spans="1:131">
      <c r="A95" s="11" t="s">
        <v>672</v>
      </c>
      <c r="B95" s="11"/>
      <c r="C95" s="32">
        <v>16.279069767441861</v>
      </c>
      <c r="D95" s="32">
        <v>1195.4000000000001</v>
      </c>
      <c r="E95" s="32">
        <v>0</v>
      </c>
      <c r="F95" s="32">
        <v>324.02315442591345</v>
      </c>
      <c r="G95" s="32">
        <v>0</v>
      </c>
      <c r="H95" s="32">
        <v>0</v>
      </c>
      <c r="I95" s="32"/>
      <c r="J95" s="32"/>
      <c r="K95" s="32"/>
      <c r="L95" s="32">
        <v>1352.5220365469634</v>
      </c>
      <c r="M95" s="32">
        <v>0.3161424966166454</v>
      </c>
      <c r="N95" s="32">
        <v>0.29994544271028972</v>
      </c>
      <c r="O95" s="32">
        <v>0</v>
      </c>
      <c r="P95" s="32">
        <v>0</v>
      </c>
      <c r="Q95" s="32">
        <v>0</v>
      </c>
      <c r="R95" s="32">
        <v>64.614545456539403</v>
      </c>
      <c r="S95" s="32">
        <v>15.997970007126046</v>
      </c>
      <c r="T95" s="32">
        <v>133.46703980780114</v>
      </c>
      <c r="U95" s="32">
        <v>190.15206279856767</v>
      </c>
      <c r="V95" s="32">
        <v>19.441389265554808</v>
      </c>
      <c r="W95" s="32">
        <v>4.860347316388701</v>
      </c>
      <c r="X95" s="32">
        <v>40.502894303239181</v>
      </c>
      <c r="Y95" s="32">
        <v>0</v>
      </c>
      <c r="Z95" s="32">
        <v>0</v>
      </c>
      <c r="AA95" s="32">
        <v>0</v>
      </c>
      <c r="AB95" s="32">
        <v>0</v>
      </c>
      <c r="AC95" s="32">
        <v>0</v>
      </c>
      <c r="AD95" s="32">
        <v>0</v>
      </c>
      <c r="AE95" s="32">
        <v>0</v>
      </c>
      <c r="AF95" s="32">
        <v>0</v>
      </c>
      <c r="AG95" s="32">
        <v>0</v>
      </c>
      <c r="AH95" s="32">
        <v>84.055934722094207</v>
      </c>
      <c r="AI95" s="32">
        <v>20.858317323514747</v>
      </c>
      <c r="AJ95" s="32">
        <v>173.96993411104032</v>
      </c>
      <c r="AK95" s="32">
        <v>190.15206279856767</v>
      </c>
      <c r="AL95" s="32">
        <v>469.03624895521693</v>
      </c>
      <c r="AM95" s="32">
        <v>648.69965497925489</v>
      </c>
      <c r="AN95" s="32">
        <v>111.70847221385941</v>
      </c>
      <c r="AO95" s="32">
        <v>76.040812719311432</v>
      </c>
      <c r="AP95" s="32">
        <v>0</v>
      </c>
      <c r="AQ95" s="32">
        <v>836.44893991242577</v>
      </c>
      <c r="AR95" s="32">
        <v>84.055934722094207</v>
      </c>
      <c r="AS95" s="383">
        <v>9.9510991422306336</v>
      </c>
      <c r="AT95" s="32">
        <v>648.69965497925489</v>
      </c>
      <c r="AU95" s="32">
        <v>126.36705001567803</v>
      </c>
      <c r="AV95" s="32">
        <v>77.506670499493296</v>
      </c>
      <c r="AW95" s="32">
        <v>0</v>
      </c>
      <c r="AX95" s="32">
        <v>852.57337549442627</v>
      </c>
      <c r="AY95" s="32">
        <v>20.858317323514747</v>
      </c>
      <c r="AZ95" s="383">
        <v>40.874504029779651</v>
      </c>
      <c r="BA95" s="32">
        <v>648.69965497925489</v>
      </c>
      <c r="BB95" s="32">
        <v>238.07552222953746</v>
      </c>
      <c r="BC95" s="32">
        <v>88.677517720879237</v>
      </c>
      <c r="BD95" s="32">
        <v>0</v>
      </c>
      <c r="BE95" s="32">
        <v>975.45269492967157</v>
      </c>
      <c r="BF95" s="32">
        <v>104.91425204560895</v>
      </c>
      <c r="BG95" s="32">
        <v>-12.06877659937515</v>
      </c>
      <c r="BH95" s="383">
        <v>9.2976185400017624</v>
      </c>
      <c r="BI95" s="32">
        <v>4.5729257159839998</v>
      </c>
      <c r="BJ95" s="32">
        <v>1.1347626553224619</v>
      </c>
      <c r="BK95" s="32">
        <v>9.4645498635482621</v>
      </c>
      <c r="BL95" s="32">
        <v>10.344912120647823</v>
      </c>
      <c r="BM95" s="32">
        <v>25.517150355502547</v>
      </c>
      <c r="BN95" s="32">
        <v>648.69965497925489</v>
      </c>
      <c r="BO95" s="32">
        <v>0</v>
      </c>
      <c r="BP95" s="32">
        <v>238.07552222953746</v>
      </c>
      <c r="BQ95" s="32">
        <v>0</v>
      </c>
      <c r="BR95" s="32">
        <v>0</v>
      </c>
      <c r="BS95" s="32">
        <v>0</v>
      </c>
      <c r="BT95" s="32">
        <v>0</v>
      </c>
      <c r="BU95" s="32">
        <v>0</v>
      </c>
      <c r="BV95" s="32">
        <v>0</v>
      </c>
      <c r="BW95" s="32">
        <v>88.677517720879237</v>
      </c>
      <c r="BX95" s="32">
        <v>404.23161807003424</v>
      </c>
      <c r="BY95" s="32">
        <v>64.804630885182689</v>
      </c>
      <c r="BZ95" s="32">
        <v>0</v>
      </c>
      <c r="CA95" s="32">
        <v>0</v>
      </c>
      <c r="CB95" s="32">
        <v>975.45269492967157</v>
      </c>
      <c r="CC95" s="32">
        <v>469.03624895521693</v>
      </c>
      <c r="CD95" s="383">
        <v>2.0796957529455398</v>
      </c>
      <c r="CE95" s="32">
        <v>7.7406853848209352</v>
      </c>
      <c r="CF95" s="32">
        <v>12.849018816081845</v>
      </c>
      <c r="CG95" s="32">
        <v>0</v>
      </c>
      <c r="CH95" s="32">
        <v>12.849018816081845</v>
      </c>
      <c r="CI95" s="32">
        <v>0.64244796735980758</v>
      </c>
      <c r="CJ95" s="32">
        <v>0</v>
      </c>
      <c r="CK95" s="32">
        <v>0.64244796735980758</v>
      </c>
      <c r="CL95" s="32"/>
      <c r="CM95" s="32">
        <v>0</v>
      </c>
      <c r="CN95" s="32"/>
      <c r="CO95" s="32">
        <v>0</v>
      </c>
      <c r="CP95" s="32">
        <v>0</v>
      </c>
      <c r="CQ95" s="32">
        <v>0</v>
      </c>
      <c r="CR95" s="32">
        <v>0</v>
      </c>
      <c r="CS95" s="32">
        <v>0</v>
      </c>
      <c r="CT95" s="32">
        <v>0</v>
      </c>
      <c r="CU95" s="32">
        <v>173.96993411104032</v>
      </c>
      <c r="CV95" s="32">
        <v>9999</v>
      </c>
      <c r="CW95" s="384">
        <v>0</v>
      </c>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row>
    <row r="96" spans="1:131">
      <c r="A96" s="11" t="s">
        <v>673</v>
      </c>
      <c r="B96" s="11"/>
      <c r="C96" s="32">
        <v>16.279069767441861</v>
      </c>
      <c r="D96" s="32">
        <v>2919.7</v>
      </c>
      <c r="E96" s="32">
        <v>0</v>
      </c>
      <c r="F96" s="32">
        <v>972.0694632777404</v>
      </c>
      <c r="G96" s="32">
        <v>0</v>
      </c>
      <c r="H96" s="32">
        <v>0</v>
      </c>
      <c r="I96" s="32"/>
      <c r="J96" s="32"/>
      <c r="K96" s="32"/>
      <c r="L96" s="32">
        <v>3303.4620964582305</v>
      </c>
      <c r="M96" s="32">
        <v>0.77216098993777771</v>
      </c>
      <c r="N96" s="32">
        <v>0.73260055971326143</v>
      </c>
      <c r="O96" s="32">
        <v>0</v>
      </c>
      <c r="P96" s="32">
        <v>0</v>
      </c>
      <c r="Q96" s="32">
        <v>0</v>
      </c>
      <c r="R96" s="32">
        <v>193.8436363696182</v>
      </c>
      <c r="S96" s="32">
        <v>47.993910021378142</v>
      </c>
      <c r="T96" s="32">
        <v>400.40111942340354</v>
      </c>
      <c r="U96" s="32">
        <v>570.45618839570307</v>
      </c>
      <c r="V96" s="32">
        <v>58.324167796664426</v>
      </c>
      <c r="W96" s="32">
        <v>14.581041949166103</v>
      </c>
      <c r="X96" s="32">
        <v>121.50868290971755</v>
      </c>
      <c r="Y96" s="32">
        <v>0</v>
      </c>
      <c r="Z96" s="32">
        <v>0</v>
      </c>
      <c r="AA96" s="32">
        <v>0</v>
      </c>
      <c r="AB96" s="32">
        <v>0</v>
      </c>
      <c r="AC96" s="32">
        <v>0</v>
      </c>
      <c r="AD96" s="32">
        <v>0</v>
      </c>
      <c r="AE96" s="32">
        <v>0</v>
      </c>
      <c r="AF96" s="32">
        <v>0</v>
      </c>
      <c r="AG96" s="32">
        <v>0</v>
      </c>
      <c r="AH96" s="32">
        <v>252.16780416628262</v>
      </c>
      <c r="AI96" s="32">
        <v>62.574951970544248</v>
      </c>
      <c r="AJ96" s="32">
        <v>521.90980233312109</v>
      </c>
      <c r="AK96" s="32">
        <v>570.45618839570307</v>
      </c>
      <c r="AL96" s="32">
        <v>1407.108746865651</v>
      </c>
      <c r="AM96" s="32">
        <v>1584.4139055068827</v>
      </c>
      <c r="AN96" s="32">
        <v>272.84191594680038</v>
      </c>
      <c r="AO96" s="32">
        <v>185.72558214536832</v>
      </c>
      <c r="AP96" s="32">
        <v>0</v>
      </c>
      <c r="AQ96" s="32">
        <v>2042.9814035990512</v>
      </c>
      <c r="AR96" s="32">
        <v>252.16780416628262</v>
      </c>
      <c r="AS96" s="383">
        <v>8.1016742416961502</v>
      </c>
      <c r="AT96" s="32">
        <v>1584.4139055068827</v>
      </c>
      <c r="AU96" s="32">
        <v>308.64470129728545</v>
      </c>
      <c r="AV96" s="32">
        <v>189.30586068041683</v>
      </c>
      <c r="AW96" s="32">
        <v>0</v>
      </c>
      <c r="AX96" s="32">
        <v>2082.364467484585</v>
      </c>
      <c r="AY96" s="32">
        <v>62.574951970544248</v>
      </c>
      <c r="AZ96" s="383">
        <v>33.277923544628706</v>
      </c>
      <c r="BA96" s="32">
        <v>1584.4139055068827</v>
      </c>
      <c r="BB96" s="32">
        <v>581.48661724408589</v>
      </c>
      <c r="BC96" s="32">
        <v>216.59005227509687</v>
      </c>
      <c r="BD96" s="32">
        <v>0</v>
      </c>
      <c r="BE96" s="32">
        <v>2382.490575026065</v>
      </c>
      <c r="BF96" s="32">
        <v>314.74275613682687</v>
      </c>
      <c r="BG96" s="32">
        <v>-10.765843318738163</v>
      </c>
      <c r="BH96" s="383">
        <v>7.569643871296388</v>
      </c>
      <c r="BI96" s="32">
        <v>5.6168189206637056</v>
      </c>
      <c r="BJ96" s="32">
        <v>1.3938027312797252</v>
      </c>
      <c r="BK96" s="32">
        <v>11.625087755816278</v>
      </c>
      <c r="BL96" s="32">
        <v>12.706416360265518</v>
      </c>
      <c r="BM96" s="32">
        <v>31.342125768025227</v>
      </c>
      <c r="BN96" s="32">
        <v>1584.4139055068827</v>
      </c>
      <c r="BO96" s="32">
        <v>0</v>
      </c>
      <c r="BP96" s="32">
        <v>581.48661724408589</v>
      </c>
      <c r="BQ96" s="32">
        <v>0</v>
      </c>
      <c r="BR96" s="32">
        <v>0</v>
      </c>
      <c r="BS96" s="32">
        <v>0</v>
      </c>
      <c r="BT96" s="32">
        <v>0</v>
      </c>
      <c r="BU96" s="32">
        <v>0</v>
      </c>
      <c r="BV96" s="32">
        <v>0</v>
      </c>
      <c r="BW96" s="32">
        <v>216.59005227509687</v>
      </c>
      <c r="BX96" s="32">
        <v>1212.6948542101029</v>
      </c>
      <c r="BY96" s="32">
        <v>194.4138926555481</v>
      </c>
      <c r="BZ96" s="32">
        <v>0</v>
      </c>
      <c r="CA96" s="32">
        <v>0</v>
      </c>
      <c r="CB96" s="32">
        <v>2382.490575026065</v>
      </c>
      <c r="CC96" s="32">
        <v>1407.108746865651</v>
      </c>
      <c r="CD96" s="383">
        <v>1.693181554256618</v>
      </c>
      <c r="CE96" s="32">
        <v>13.565660797343634</v>
      </c>
      <c r="CF96" s="32">
        <v>31.383035165897827</v>
      </c>
      <c r="CG96" s="32">
        <v>0</v>
      </c>
      <c r="CH96" s="32">
        <v>31.383035165897827</v>
      </c>
      <c r="CI96" s="32">
        <v>1.5691444958176588</v>
      </c>
      <c r="CJ96" s="32">
        <v>0</v>
      </c>
      <c r="CK96" s="32">
        <v>1.5691444958176588</v>
      </c>
      <c r="CL96" s="32"/>
      <c r="CM96" s="32">
        <v>0</v>
      </c>
      <c r="CN96" s="32"/>
      <c r="CO96" s="32">
        <v>0</v>
      </c>
      <c r="CP96" s="32">
        <v>0</v>
      </c>
      <c r="CQ96" s="32">
        <v>0</v>
      </c>
      <c r="CR96" s="32">
        <v>0</v>
      </c>
      <c r="CS96" s="32">
        <v>0</v>
      </c>
      <c r="CT96" s="32">
        <v>0</v>
      </c>
      <c r="CU96" s="32">
        <v>521.90980233312109</v>
      </c>
      <c r="CV96" s="32">
        <v>9999</v>
      </c>
      <c r="CW96" s="384">
        <v>0</v>
      </c>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row>
    <row r="97" spans="1:131">
      <c r="A97" s="11" t="s">
        <v>669</v>
      </c>
      <c r="B97" s="11"/>
      <c r="C97" s="32">
        <v>16.279069767441861</v>
      </c>
      <c r="D97" s="32">
        <v>305.29999999999995</v>
      </c>
      <c r="E97" s="32">
        <v>0</v>
      </c>
      <c r="F97" s="32">
        <v>113.40810404906972</v>
      </c>
      <c r="G97" s="32">
        <v>0</v>
      </c>
      <c r="H97" s="32">
        <v>0</v>
      </c>
      <c r="I97" s="32"/>
      <c r="J97" s="32"/>
      <c r="K97" s="32"/>
      <c r="L97" s="32">
        <v>345.42828990947618</v>
      </c>
      <c r="M97" s="32">
        <v>8.0741428992020942E-2</v>
      </c>
      <c r="N97" s="32">
        <v>7.6604771339678288E-2</v>
      </c>
      <c r="O97" s="32">
        <v>0</v>
      </c>
      <c r="P97" s="32">
        <v>0</v>
      </c>
      <c r="Q97" s="32">
        <v>0</v>
      </c>
      <c r="R97" s="32">
        <v>22.61509090978879</v>
      </c>
      <c r="S97" s="32">
        <v>5.5992895024941172</v>
      </c>
      <c r="T97" s="32">
        <v>46.713463932730413</v>
      </c>
      <c r="U97" s="32">
        <v>66.553221979498687</v>
      </c>
      <c r="V97" s="32">
        <v>6.8044862429441837</v>
      </c>
      <c r="W97" s="32">
        <v>1.7011215607360455</v>
      </c>
      <c r="X97" s="32">
        <v>14.176013006133715</v>
      </c>
      <c r="Y97" s="32">
        <v>0</v>
      </c>
      <c r="Z97" s="32">
        <v>0</v>
      </c>
      <c r="AA97" s="32">
        <v>0</v>
      </c>
      <c r="AB97" s="32">
        <v>0</v>
      </c>
      <c r="AC97" s="32">
        <v>0</v>
      </c>
      <c r="AD97" s="32">
        <v>0</v>
      </c>
      <c r="AE97" s="32">
        <v>0</v>
      </c>
      <c r="AF97" s="32">
        <v>0</v>
      </c>
      <c r="AG97" s="32">
        <v>0</v>
      </c>
      <c r="AH97" s="32">
        <v>29.419577152732973</v>
      </c>
      <c r="AI97" s="32">
        <v>7.3004110632301629</v>
      </c>
      <c r="AJ97" s="32">
        <v>60.889476938864128</v>
      </c>
      <c r="AK97" s="32">
        <v>66.553221979498687</v>
      </c>
      <c r="AL97" s="32">
        <v>164.16268713432595</v>
      </c>
      <c r="AM97" s="32">
        <v>165.67509173930594</v>
      </c>
      <c r="AN97" s="32">
        <v>28.529861608575583</v>
      </c>
      <c r="AO97" s="32">
        <v>19.42049533478815</v>
      </c>
      <c r="AP97" s="32">
        <v>0</v>
      </c>
      <c r="AQ97" s="32">
        <v>213.62544868266966</v>
      </c>
      <c r="AR97" s="32">
        <v>29.419577152732973</v>
      </c>
      <c r="AS97" s="383">
        <v>7.2613364758311834</v>
      </c>
      <c r="AT97" s="32">
        <v>165.67509173930594</v>
      </c>
      <c r="AU97" s="32">
        <v>32.273599104723516</v>
      </c>
      <c r="AV97" s="32">
        <v>19.794869084402944</v>
      </c>
      <c r="AW97" s="32">
        <v>0</v>
      </c>
      <c r="AX97" s="32">
        <v>217.74355992843238</v>
      </c>
      <c r="AY97" s="32">
        <v>7.3004110632301629</v>
      </c>
      <c r="AZ97" s="383">
        <v>29.826205407136193</v>
      </c>
      <c r="BA97" s="32">
        <v>165.67509173930594</v>
      </c>
      <c r="BB97" s="32">
        <v>60.803460713299103</v>
      </c>
      <c r="BC97" s="32">
        <v>22.647855245260505</v>
      </c>
      <c r="BD97" s="32">
        <v>0</v>
      </c>
      <c r="BE97" s="32">
        <v>249.12640769786552</v>
      </c>
      <c r="BF97" s="32">
        <v>36.719988215963134</v>
      </c>
      <c r="BG97" s="32">
        <v>-9.9545202026799231</v>
      </c>
      <c r="BH97" s="383">
        <v>6.7844904043178254</v>
      </c>
      <c r="BI97" s="32">
        <v>6.2668404530315955</v>
      </c>
      <c r="BJ97" s="32">
        <v>1.5551043149700785</v>
      </c>
      <c r="BK97" s="32">
        <v>12.970432418637271</v>
      </c>
      <c r="BL97" s="32">
        <v>14.176900694915965</v>
      </c>
      <c r="BM97" s="32">
        <v>34.969277881554909</v>
      </c>
      <c r="BN97" s="32">
        <v>165.67509173930594</v>
      </c>
      <c r="BO97" s="32">
        <v>0</v>
      </c>
      <c r="BP97" s="32">
        <v>60.803460713299103</v>
      </c>
      <c r="BQ97" s="32">
        <v>0</v>
      </c>
      <c r="BR97" s="32">
        <v>0</v>
      </c>
      <c r="BS97" s="32">
        <v>0</v>
      </c>
      <c r="BT97" s="32">
        <v>0</v>
      </c>
      <c r="BU97" s="32">
        <v>0</v>
      </c>
      <c r="BV97" s="32">
        <v>0</v>
      </c>
      <c r="BW97" s="32">
        <v>22.647855245260505</v>
      </c>
      <c r="BX97" s="32">
        <v>141.481066324512</v>
      </c>
      <c r="BY97" s="32">
        <v>22.681620809813946</v>
      </c>
      <c r="BZ97" s="32">
        <v>0</v>
      </c>
      <c r="CA97" s="32">
        <v>0</v>
      </c>
      <c r="CB97" s="32">
        <v>249.12640769786555</v>
      </c>
      <c r="CC97" s="32">
        <v>164.16268713432595</v>
      </c>
      <c r="CD97" s="383">
        <v>1.5175580519952023</v>
      </c>
      <c r="CE97" s="32">
        <v>17.192812910873307</v>
      </c>
      <c r="CF97" s="32">
        <v>3.2815839422367321</v>
      </c>
      <c r="CG97" s="32">
        <v>0</v>
      </c>
      <c r="CH97" s="32">
        <v>3.2815839422367321</v>
      </c>
      <c r="CI97" s="32">
        <v>0.16407843770700115</v>
      </c>
      <c r="CJ97" s="32">
        <v>0</v>
      </c>
      <c r="CK97" s="32">
        <v>0.16407843770700115</v>
      </c>
      <c r="CL97" s="32"/>
      <c r="CM97" s="32">
        <v>0</v>
      </c>
      <c r="CN97" s="32"/>
      <c r="CO97" s="32">
        <v>0</v>
      </c>
      <c r="CP97" s="32">
        <v>0</v>
      </c>
      <c r="CQ97" s="32">
        <v>0</v>
      </c>
      <c r="CR97" s="32">
        <v>0</v>
      </c>
      <c r="CS97" s="32">
        <v>0</v>
      </c>
      <c r="CT97" s="32">
        <v>0</v>
      </c>
      <c r="CU97" s="32">
        <v>60.889476938864128</v>
      </c>
      <c r="CV97" s="32">
        <v>9999</v>
      </c>
      <c r="CW97" s="384">
        <v>0</v>
      </c>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row>
    <row r="98" spans="1:131">
      <c r="A98" s="11" t="s">
        <v>670</v>
      </c>
      <c r="B98" s="11"/>
      <c r="C98" s="32">
        <v>16.279069767441861</v>
      </c>
      <c r="D98" s="32">
        <v>408.5</v>
      </c>
      <c r="E98" s="32">
        <v>0</v>
      </c>
      <c r="F98" s="32">
        <v>162.01157721295672</v>
      </c>
      <c r="G98" s="32">
        <v>0</v>
      </c>
      <c r="H98" s="32">
        <v>0</v>
      </c>
      <c r="I98" s="32"/>
      <c r="J98" s="32"/>
      <c r="K98" s="32"/>
      <c r="L98" s="32">
        <v>462.19278227324287</v>
      </c>
      <c r="M98" s="32">
        <v>0.10803430639777449</v>
      </c>
      <c r="N98" s="32">
        <v>0.10249934193337237</v>
      </c>
      <c r="O98" s="32">
        <v>0</v>
      </c>
      <c r="P98" s="32">
        <v>0</v>
      </c>
      <c r="Q98" s="32">
        <v>0</v>
      </c>
      <c r="R98" s="32">
        <v>32.307272728269702</v>
      </c>
      <c r="S98" s="32">
        <v>7.998985003563023</v>
      </c>
      <c r="T98" s="32">
        <v>66.733519903900572</v>
      </c>
      <c r="U98" s="32">
        <v>95.076031399283835</v>
      </c>
      <c r="V98" s="32">
        <v>9.7206946327774038</v>
      </c>
      <c r="W98" s="32">
        <v>2.4301736581943505</v>
      </c>
      <c r="X98" s="32">
        <v>20.25144715161959</v>
      </c>
      <c r="Y98" s="32">
        <v>0</v>
      </c>
      <c r="Z98" s="32">
        <v>0</v>
      </c>
      <c r="AA98" s="32">
        <v>0</v>
      </c>
      <c r="AB98" s="32">
        <v>0</v>
      </c>
      <c r="AC98" s="32">
        <v>0</v>
      </c>
      <c r="AD98" s="32">
        <v>0</v>
      </c>
      <c r="AE98" s="32">
        <v>0</v>
      </c>
      <c r="AF98" s="32">
        <v>0</v>
      </c>
      <c r="AG98" s="32">
        <v>0</v>
      </c>
      <c r="AH98" s="32">
        <v>42.027967361047104</v>
      </c>
      <c r="AI98" s="32">
        <v>10.429158661757373</v>
      </c>
      <c r="AJ98" s="32">
        <v>86.984967055520158</v>
      </c>
      <c r="AK98" s="32">
        <v>95.076031399283835</v>
      </c>
      <c r="AL98" s="32">
        <v>234.51812447760847</v>
      </c>
      <c r="AM98" s="32">
        <v>221.67793965118409</v>
      </c>
      <c r="AN98" s="32">
        <v>38.173758490347623</v>
      </c>
      <c r="AO98" s="32">
        <v>25.985169814153174</v>
      </c>
      <c r="AP98" s="32">
        <v>0</v>
      </c>
      <c r="AQ98" s="32">
        <v>285.83686795568485</v>
      </c>
      <c r="AR98" s="32">
        <v>42.027967361047104</v>
      </c>
      <c r="AS98" s="383">
        <v>6.8011109245461112</v>
      </c>
      <c r="AT98" s="32">
        <v>221.67793965118409</v>
      </c>
      <c r="AU98" s="32">
        <v>43.182984717587814</v>
      </c>
      <c r="AV98" s="32">
        <v>26.486092436877193</v>
      </c>
      <c r="AW98" s="32">
        <v>0</v>
      </c>
      <c r="AX98" s="32">
        <v>291.3470168056491</v>
      </c>
      <c r="AY98" s="32">
        <v>10.429158661757373</v>
      </c>
      <c r="AZ98" s="383">
        <v>27.935812106683919</v>
      </c>
      <c r="BA98" s="32">
        <v>221.67793965118409</v>
      </c>
      <c r="BB98" s="32">
        <v>81.356743207935438</v>
      </c>
      <c r="BC98" s="32">
        <v>30.303468285911954</v>
      </c>
      <c r="BD98" s="32">
        <v>0</v>
      </c>
      <c r="BE98" s="32">
        <v>333.33815114503147</v>
      </c>
      <c r="BF98" s="32">
        <v>52.457126022804474</v>
      </c>
      <c r="BG98" s="32">
        <v>-9.4252156695068887</v>
      </c>
      <c r="BH98" s="383">
        <v>6.3544874913681078</v>
      </c>
      <c r="BI98" s="32">
        <v>6.6909123633871159</v>
      </c>
      <c r="BJ98" s="32">
        <v>1.6603369377876021</v>
      </c>
      <c r="BK98" s="32">
        <v>13.848130852981141</v>
      </c>
      <c r="BL98" s="32">
        <v>15.136239839684709</v>
      </c>
      <c r="BM98" s="32">
        <v>37.335619993840567</v>
      </c>
      <c r="BN98" s="32">
        <v>221.67793965118409</v>
      </c>
      <c r="BO98" s="32">
        <v>0</v>
      </c>
      <c r="BP98" s="32">
        <v>81.356743207935438</v>
      </c>
      <c r="BQ98" s="32">
        <v>0</v>
      </c>
      <c r="BR98" s="32">
        <v>0</v>
      </c>
      <c r="BS98" s="32">
        <v>0</v>
      </c>
      <c r="BT98" s="32">
        <v>0</v>
      </c>
      <c r="BU98" s="32">
        <v>0</v>
      </c>
      <c r="BV98" s="32">
        <v>0</v>
      </c>
      <c r="BW98" s="32">
        <v>30.303468285911954</v>
      </c>
      <c r="BX98" s="32">
        <v>202.11580903501712</v>
      </c>
      <c r="BY98" s="32">
        <v>32.402315442591345</v>
      </c>
      <c r="BZ98" s="32">
        <v>0</v>
      </c>
      <c r="CA98" s="32">
        <v>0</v>
      </c>
      <c r="CB98" s="32">
        <v>333.33815114503147</v>
      </c>
      <c r="CC98" s="32">
        <v>234.51812447760847</v>
      </c>
      <c r="CD98" s="383">
        <v>1.4213747951786055</v>
      </c>
      <c r="CE98" s="32">
        <v>19.559155023158965</v>
      </c>
      <c r="CF98" s="32">
        <v>4.3908517536970244</v>
      </c>
      <c r="CG98" s="32">
        <v>0</v>
      </c>
      <c r="CH98" s="32">
        <v>4.3908517536970244</v>
      </c>
      <c r="CI98" s="32">
        <v>0.21954157157979032</v>
      </c>
      <c r="CJ98" s="32">
        <v>0</v>
      </c>
      <c r="CK98" s="32">
        <v>0.21954157157979032</v>
      </c>
      <c r="CL98" s="32"/>
      <c r="CM98" s="32">
        <v>0</v>
      </c>
      <c r="CN98" s="32"/>
      <c r="CO98" s="32">
        <v>0</v>
      </c>
      <c r="CP98" s="32">
        <v>0</v>
      </c>
      <c r="CQ98" s="32">
        <v>0</v>
      </c>
      <c r="CR98" s="32">
        <v>0</v>
      </c>
      <c r="CS98" s="32">
        <v>0</v>
      </c>
      <c r="CT98" s="32">
        <v>0</v>
      </c>
      <c r="CU98" s="32">
        <v>86.984967055520158</v>
      </c>
      <c r="CV98" s="32">
        <v>9999</v>
      </c>
      <c r="CW98" s="384">
        <v>0</v>
      </c>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row>
    <row r="99" spans="1:131">
      <c r="A99" s="11"/>
      <c r="B99" s="11"/>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84"/>
      <c r="AT99" s="32"/>
      <c r="AU99" s="32"/>
      <c r="AV99" s="32"/>
      <c r="AW99" s="32"/>
      <c r="AX99" s="32"/>
      <c r="AY99" s="32"/>
      <c r="AZ99" s="384"/>
      <c r="BA99" s="32"/>
      <c r="BB99" s="32"/>
      <c r="BC99" s="32"/>
      <c r="BD99" s="32"/>
      <c r="BE99" s="32"/>
      <c r="BF99" s="32"/>
      <c r="BG99" s="32"/>
      <c r="BH99" s="384"/>
      <c r="BI99" s="32"/>
      <c r="BJ99" s="32"/>
      <c r="BK99" s="32"/>
      <c r="BL99" s="32"/>
      <c r="BM99" s="32"/>
      <c r="BN99" s="32"/>
      <c r="BO99" s="32"/>
      <c r="BP99" s="32"/>
      <c r="BQ99" s="32"/>
      <c r="BR99" s="32"/>
      <c r="BS99" s="32"/>
      <c r="BT99" s="32"/>
      <c r="BU99" s="32"/>
      <c r="BV99" s="32"/>
      <c r="BW99" s="32"/>
      <c r="BX99" s="32"/>
      <c r="BY99" s="32"/>
      <c r="BZ99" s="32"/>
      <c r="CA99" s="32"/>
      <c r="CB99" s="32"/>
      <c r="CC99" s="32"/>
      <c r="CD99" s="384"/>
      <c r="CE99" s="32"/>
      <c r="CF99" s="32"/>
      <c r="CG99" s="32"/>
      <c r="CH99" s="32"/>
      <c r="CI99" s="32"/>
      <c r="CJ99" s="32"/>
      <c r="CK99" s="32"/>
      <c r="CL99" s="32"/>
      <c r="CM99" s="32"/>
      <c r="CN99" s="32"/>
      <c r="CO99" s="32"/>
      <c r="CP99" s="32"/>
      <c r="CQ99" s="32"/>
      <c r="CR99" s="32"/>
      <c r="CS99" s="32"/>
      <c r="CT99" s="32"/>
      <c r="CU99" s="32"/>
      <c r="CV99" s="32"/>
      <c r="CW99" s="384"/>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row>
    <row r="100" spans="1:131">
      <c r="A100" s="11"/>
      <c r="B100" s="11"/>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84"/>
      <c r="AT100" s="32"/>
      <c r="AU100" s="32"/>
      <c r="AV100" s="32"/>
      <c r="AW100" s="32"/>
      <c r="AX100" s="32"/>
      <c r="AY100" s="32"/>
      <c r="AZ100" s="384"/>
      <c r="BA100" s="32"/>
      <c r="BB100" s="32"/>
      <c r="BC100" s="32"/>
      <c r="BD100" s="32"/>
      <c r="BE100" s="32"/>
      <c r="BF100" s="32"/>
      <c r="BG100" s="32"/>
      <c r="BH100" s="384"/>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84"/>
      <c r="CE100" s="32"/>
      <c r="CF100" s="32"/>
      <c r="CG100" s="32"/>
      <c r="CH100" s="32"/>
      <c r="CI100" s="32"/>
      <c r="CJ100" s="32"/>
      <c r="CK100" s="32"/>
      <c r="CL100" s="32"/>
      <c r="CM100" s="32"/>
      <c r="CN100" s="32"/>
      <c r="CO100" s="32"/>
      <c r="CP100" s="32"/>
      <c r="CQ100" s="32"/>
      <c r="CR100" s="32"/>
      <c r="CS100" s="32"/>
      <c r="CT100" s="32"/>
      <c r="CU100" s="32"/>
      <c r="CV100" s="32"/>
      <c r="CW100" s="384"/>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row>
    <row r="101" spans="1:131" ht="13.5" thickBot="1">
      <c r="A101" s="368" t="s">
        <v>613</v>
      </c>
      <c r="B101" s="370"/>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84"/>
      <c r="AT101" s="32"/>
      <c r="AU101" s="32"/>
      <c r="AV101" s="32"/>
      <c r="AW101" s="32"/>
      <c r="AX101" s="32"/>
      <c r="AY101" s="32"/>
      <c r="AZ101" s="384"/>
      <c r="BA101" s="32"/>
      <c r="BB101" s="32"/>
      <c r="BC101" s="32"/>
      <c r="BD101" s="32"/>
      <c r="BE101" s="32"/>
      <c r="BF101" s="32"/>
      <c r="BG101" s="32"/>
      <c r="BH101" s="384"/>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84"/>
      <c r="CE101" s="32"/>
      <c r="CF101" s="32"/>
      <c r="CG101" s="32"/>
      <c r="CH101" s="32"/>
      <c r="CI101" s="32"/>
      <c r="CJ101" s="32"/>
      <c r="CK101" s="32"/>
      <c r="CL101" s="32"/>
      <c r="CM101" s="32"/>
      <c r="CN101" s="32"/>
      <c r="CO101" s="32"/>
      <c r="CP101" s="32"/>
      <c r="CQ101" s="32"/>
      <c r="CR101" s="32"/>
      <c r="CS101" s="32"/>
      <c r="CT101" s="32"/>
      <c r="CU101" s="32"/>
      <c r="CV101" s="32"/>
      <c r="CW101" s="384"/>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row>
    <row r="102" spans="1:131" ht="13.5" thickBot="1">
      <c r="A102" s="385" t="s">
        <v>614</v>
      </c>
      <c r="B102" s="386"/>
      <c r="C102" s="387"/>
      <c r="D102" s="387"/>
      <c r="E102" s="387"/>
      <c r="F102" s="387"/>
      <c r="G102" s="387"/>
      <c r="H102" s="387"/>
      <c r="I102" s="387"/>
      <c r="J102" s="387"/>
      <c r="K102" s="387"/>
      <c r="L102" s="388"/>
      <c r="M102" s="389"/>
      <c r="N102" s="390" t="s">
        <v>959</v>
      </c>
      <c r="O102" s="387"/>
      <c r="P102" s="387"/>
      <c r="Q102" s="387"/>
      <c r="R102" s="387"/>
      <c r="S102" s="387"/>
      <c r="T102" s="387"/>
      <c r="U102" s="387"/>
      <c r="V102" s="387"/>
      <c r="W102" s="387"/>
      <c r="X102" s="387"/>
      <c r="Y102" s="388"/>
      <c r="Z102" s="389"/>
      <c r="AA102" s="390" t="s">
        <v>960</v>
      </c>
      <c r="AB102" s="387"/>
      <c r="AC102" s="387"/>
      <c r="AD102" s="387"/>
      <c r="AE102" s="387"/>
      <c r="AF102" s="387"/>
      <c r="AG102" s="387"/>
      <c r="AH102" s="387"/>
      <c r="AI102" s="387"/>
      <c r="AJ102" s="387"/>
      <c r="AK102" s="387"/>
      <c r="AL102" s="388"/>
      <c r="AM102" s="32"/>
      <c r="AN102" s="32"/>
      <c r="AO102" s="32"/>
      <c r="AP102" s="32"/>
      <c r="AQ102" s="32"/>
      <c r="AR102" s="32"/>
      <c r="AS102" s="384"/>
      <c r="AT102" s="32"/>
      <c r="AU102" s="32"/>
      <c r="AV102" s="32"/>
      <c r="AW102" s="32"/>
      <c r="AX102" s="32"/>
      <c r="AY102" s="32"/>
      <c r="AZ102" s="384"/>
      <c r="BA102" s="32"/>
      <c r="BB102" s="32"/>
      <c r="BC102" s="32"/>
      <c r="BD102" s="32"/>
      <c r="BE102" s="32"/>
      <c r="BF102" s="32"/>
      <c r="BG102" s="32"/>
      <c r="BH102" s="384"/>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84"/>
      <c r="CE102" s="32"/>
      <c r="CF102" s="32"/>
      <c r="CG102" s="32"/>
      <c r="CH102" s="32"/>
      <c r="CI102" s="32"/>
      <c r="CJ102" s="32"/>
      <c r="CK102" s="32"/>
      <c r="CL102" s="32"/>
      <c r="CM102" s="32"/>
      <c r="CN102" s="32"/>
      <c r="CO102" s="32"/>
      <c r="CP102" s="32"/>
      <c r="CQ102" s="32"/>
      <c r="CR102" s="32"/>
      <c r="CS102" s="32"/>
      <c r="CT102" s="32"/>
      <c r="CU102" s="32"/>
      <c r="CV102" s="32"/>
      <c r="CW102" s="384"/>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row>
    <row r="103" spans="1:131" ht="102">
      <c r="A103" s="379"/>
      <c r="B103" s="380" t="s">
        <v>615</v>
      </c>
      <c r="C103" s="381" t="s">
        <v>616</v>
      </c>
      <c r="D103" s="381" t="s">
        <v>617</v>
      </c>
      <c r="E103" s="381" t="s">
        <v>618</v>
      </c>
      <c r="F103" s="381" t="s">
        <v>619</v>
      </c>
      <c r="G103" s="381" t="s">
        <v>620</v>
      </c>
      <c r="H103" s="381" t="s">
        <v>621</v>
      </c>
      <c r="I103" s="381" t="s">
        <v>622</v>
      </c>
      <c r="J103" s="381" t="s">
        <v>623</v>
      </c>
      <c r="K103" s="381" t="s">
        <v>372</v>
      </c>
      <c r="L103" s="381" t="s">
        <v>371</v>
      </c>
      <c r="M103" s="381" t="s">
        <v>624</v>
      </c>
      <c r="N103" s="381" t="s">
        <v>625</v>
      </c>
      <c r="O103" s="381" t="s">
        <v>626</v>
      </c>
      <c r="P103" s="381" t="s">
        <v>627</v>
      </c>
      <c r="Q103" s="381" t="s">
        <v>628</v>
      </c>
      <c r="R103" s="381" t="s">
        <v>629</v>
      </c>
      <c r="S103" s="381" t="s">
        <v>630</v>
      </c>
      <c r="T103" s="381" t="s">
        <v>631</v>
      </c>
      <c r="U103" s="381" t="s">
        <v>632</v>
      </c>
      <c r="V103" s="381" t="s">
        <v>633</v>
      </c>
      <c r="W103" s="381" t="s">
        <v>634</v>
      </c>
      <c r="X103" s="381" t="s">
        <v>635</v>
      </c>
      <c r="Y103" s="381" t="s">
        <v>636</v>
      </c>
      <c r="Z103" s="381"/>
      <c r="AA103" s="381" t="s">
        <v>625</v>
      </c>
      <c r="AB103" s="381" t="s">
        <v>626</v>
      </c>
      <c r="AC103" s="381" t="s">
        <v>627</v>
      </c>
      <c r="AD103" s="381" t="s">
        <v>628</v>
      </c>
      <c r="AE103" s="381" t="s">
        <v>629</v>
      </c>
      <c r="AF103" s="381" t="s">
        <v>630</v>
      </c>
      <c r="AG103" s="381" t="s">
        <v>631</v>
      </c>
      <c r="AH103" s="381" t="s">
        <v>632</v>
      </c>
      <c r="AI103" s="381" t="s">
        <v>633</v>
      </c>
      <c r="AJ103" s="381" t="s">
        <v>634</v>
      </c>
      <c r="AK103" s="381" t="s">
        <v>635</v>
      </c>
      <c r="AL103" s="381" t="s">
        <v>636</v>
      </c>
      <c r="AM103" s="32"/>
      <c r="AN103" s="32"/>
      <c r="AO103" s="32"/>
      <c r="AP103" s="32"/>
      <c r="AQ103" s="32"/>
      <c r="AR103" s="32"/>
      <c r="AS103" s="384"/>
      <c r="AT103" s="32"/>
      <c r="AU103" s="32"/>
      <c r="AV103" s="32"/>
      <c r="AW103" s="32"/>
      <c r="AX103" s="32"/>
      <c r="AY103" s="32"/>
      <c r="AZ103" s="384"/>
      <c r="BA103" s="32"/>
      <c r="BB103" s="32"/>
      <c r="BC103" s="32"/>
      <c r="BD103" s="32"/>
      <c r="BE103" s="32"/>
      <c r="BF103" s="32"/>
      <c r="BG103" s="32"/>
      <c r="BH103" s="384"/>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84"/>
      <c r="CE103" s="32"/>
      <c r="CF103" s="32"/>
      <c r="CG103" s="32"/>
      <c r="CH103" s="32"/>
      <c r="CI103" s="32"/>
      <c r="CJ103" s="32"/>
      <c r="CK103" s="32"/>
      <c r="CL103" s="32"/>
      <c r="CM103" s="32"/>
      <c r="CN103" s="32"/>
      <c r="CO103" s="32"/>
      <c r="CP103" s="32"/>
      <c r="CQ103" s="32"/>
      <c r="CR103" s="32"/>
      <c r="CS103" s="32"/>
      <c r="CT103" s="32"/>
      <c r="CU103" s="32"/>
      <c r="CV103" s="32"/>
      <c r="CW103" s="384"/>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row>
    <row r="104" spans="1:131">
      <c r="A104" s="11"/>
      <c r="B104" s="391" t="s">
        <v>637</v>
      </c>
      <c r="C104" s="392">
        <v>12435.418436741147</v>
      </c>
      <c r="D104" s="392">
        <v>2395.0477523572745</v>
      </c>
      <c r="E104" s="392">
        <v>0</v>
      </c>
      <c r="F104" s="392">
        <v>2395.0477523572745</v>
      </c>
      <c r="G104" s="392">
        <v>2987.9161876740013</v>
      </c>
      <c r="H104" s="392">
        <v>8968.5506771231612</v>
      </c>
      <c r="I104" s="392">
        <v>1687.1662515723074</v>
      </c>
      <c r="J104" s="392">
        <v>-14.250724705392109</v>
      </c>
      <c r="K104" s="392">
        <v>-9.6633444086593467E-2</v>
      </c>
      <c r="L104" s="383">
        <v>298.47567702010599</v>
      </c>
      <c r="M104" s="32">
        <v>118.13702192052244</v>
      </c>
      <c r="N104" s="166">
        <v>516.75259805556902</v>
      </c>
      <c r="O104" s="166">
        <v>379.97997870104194</v>
      </c>
      <c r="P104" s="166">
        <v>351.77649166268031</v>
      </c>
      <c r="Q104" s="166">
        <v>201.16559423645924</v>
      </c>
      <c r="R104" s="166">
        <v>161.58415060604034</v>
      </c>
      <c r="S104" s="166">
        <v>125.40580083830474</v>
      </c>
      <c r="T104" s="166">
        <v>131.34606619684436</v>
      </c>
      <c r="U104" s="166">
        <v>190.72969637191841</v>
      </c>
      <c r="V104" s="166">
        <v>240.54237641704393</v>
      </c>
      <c r="W104" s="166">
        <v>392.04388516808586</v>
      </c>
      <c r="X104" s="166">
        <v>457.0661333679468</v>
      </c>
      <c r="Y104" s="166">
        <v>542.21784199926572</v>
      </c>
      <c r="Z104" s="166"/>
      <c r="AA104" s="166">
        <v>848.47806781625661</v>
      </c>
      <c r="AB104" s="166">
        <v>733.99727915585447</v>
      </c>
      <c r="AC104" s="166">
        <v>737.59325056948614</v>
      </c>
      <c r="AD104" s="166">
        <v>698.88901356126689</v>
      </c>
      <c r="AE104" s="166">
        <v>643.61019834723709</v>
      </c>
      <c r="AF104" s="166">
        <v>584.59988881015386</v>
      </c>
      <c r="AG104" s="166">
        <v>639.11712868771428</v>
      </c>
      <c r="AH104" s="166">
        <v>690.72647331688211</v>
      </c>
      <c r="AI104" s="166">
        <v>741.52701497941655</v>
      </c>
      <c r="AJ104" s="166">
        <v>767.55102807264768</v>
      </c>
      <c r="AK104" s="166">
        <v>809.20790299508508</v>
      </c>
      <c r="AL104" s="166">
        <v>849.51057680794099</v>
      </c>
      <c r="AM104" s="32"/>
      <c r="AN104" s="32"/>
      <c r="AO104" s="32"/>
      <c r="AP104" s="32"/>
      <c r="AQ104" s="32"/>
      <c r="AR104" s="32"/>
      <c r="AS104" s="384"/>
      <c r="AT104" s="32"/>
      <c r="AU104" s="32"/>
      <c r="AV104" s="32"/>
      <c r="AW104" s="32"/>
      <c r="AX104" s="32"/>
      <c r="AY104" s="32"/>
      <c r="AZ104" s="384"/>
      <c r="BA104" s="32"/>
      <c r="BB104" s="32"/>
      <c r="BC104" s="32"/>
      <c r="BD104" s="32"/>
      <c r="BE104" s="32"/>
      <c r="BF104" s="32"/>
      <c r="BG104" s="32"/>
      <c r="BH104" s="384"/>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84"/>
      <c r="CE104" s="32"/>
      <c r="CF104" s="32"/>
      <c r="CG104" s="32"/>
      <c r="CH104" s="32"/>
      <c r="CI104" s="32"/>
      <c r="CJ104" s="32"/>
      <c r="CK104" s="32"/>
      <c r="CL104" s="32"/>
      <c r="CM104" s="32"/>
      <c r="CN104" s="32"/>
      <c r="CO104" s="32"/>
      <c r="CP104" s="32"/>
      <c r="CQ104" s="32"/>
      <c r="CR104" s="32"/>
      <c r="CS104" s="32"/>
      <c r="CT104" s="32"/>
      <c r="CU104" s="32"/>
      <c r="CV104" s="32"/>
      <c r="CW104" s="384"/>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row>
    <row r="105" spans="1:131">
      <c r="A105" s="11"/>
      <c r="B105" s="391" t="s">
        <v>638</v>
      </c>
      <c r="C105" s="392">
        <v>12435.418436741144</v>
      </c>
      <c r="D105" s="392">
        <v>2395.047752357274</v>
      </c>
      <c r="E105" s="392">
        <v>479.00955047145487</v>
      </c>
      <c r="F105" s="392">
        <v>2874.057302828729</v>
      </c>
      <c r="G105" s="392">
        <v>3466.9257381454568</v>
      </c>
      <c r="H105" s="392">
        <v>8968.5506771231594</v>
      </c>
      <c r="I105" s="392">
        <v>2024.5995018867693</v>
      </c>
      <c r="J105" s="392">
        <v>-13.187842463216755</v>
      </c>
      <c r="K105" s="392">
        <v>2.7377192017143708</v>
      </c>
      <c r="L105" s="383">
        <v>295.61156817023095</v>
      </c>
      <c r="M105" s="32">
        <v>118.1370219205224</v>
      </c>
      <c r="N105" s="166">
        <v>156.48142053795399</v>
      </c>
      <c r="O105" s="166">
        <v>115.0643597474986</v>
      </c>
      <c r="P105" s="166">
        <v>106.52386719362852</v>
      </c>
      <c r="Q105" s="166">
        <v>60.91634191667427</v>
      </c>
      <c r="R105" s="166">
        <v>48.930411803237575</v>
      </c>
      <c r="S105" s="166">
        <v>37.974996028500733</v>
      </c>
      <c r="T105" s="166">
        <v>39.773808777917651</v>
      </c>
      <c r="U105" s="166">
        <v>57.756175661918959</v>
      </c>
      <c r="V105" s="166">
        <v>72.840297084034418</v>
      </c>
      <c r="W105" s="166">
        <v>118.71751452273021</v>
      </c>
      <c r="X105" s="166">
        <v>138.40735024522334</v>
      </c>
      <c r="Y105" s="166">
        <v>164.19272680259456</v>
      </c>
      <c r="Z105" s="166"/>
      <c r="AA105" s="166">
        <v>256.93349940914817</v>
      </c>
      <c r="AB105" s="166">
        <v>222.26678171620935</v>
      </c>
      <c r="AC105" s="166">
        <v>223.35570263723878</v>
      </c>
      <c r="AD105" s="166">
        <v>211.63540551503152</v>
      </c>
      <c r="AE105" s="166">
        <v>194.89604597838871</v>
      </c>
      <c r="AF105" s="166">
        <v>177.0267268932156</v>
      </c>
      <c r="AG105" s="166">
        <v>193.53546854627967</v>
      </c>
      <c r="AH105" s="166">
        <v>209.16365037060515</v>
      </c>
      <c r="AI105" s="166">
        <v>224.54691298672472</v>
      </c>
      <c r="AJ105" s="166">
        <v>232.42742399382988</v>
      </c>
      <c r="AK105" s="166">
        <v>245.04182978020179</v>
      </c>
      <c r="AL105" s="166">
        <v>257.24616058268629</v>
      </c>
      <c r="AM105" s="32"/>
      <c r="AN105" s="32"/>
      <c r="AO105" s="32"/>
      <c r="AP105" s="32"/>
      <c r="AQ105" s="32"/>
      <c r="AR105" s="32"/>
      <c r="AS105" s="384"/>
      <c r="AT105" s="32"/>
      <c r="AU105" s="32"/>
      <c r="AV105" s="32"/>
      <c r="AW105" s="32"/>
      <c r="AX105" s="32"/>
      <c r="AY105" s="32"/>
      <c r="AZ105" s="384"/>
      <c r="BA105" s="32"/>
      <c r="BB105" s="32"/>
      <c r="BC105" s="32"/>
      <c r="BD105" s="32"/>
      <c r="BE105" s="32"/>
      <c r="BF105" s="32"/>
      <c r="BG105" s="32"/>
      <c r="BH105" s="384"/>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84"/>
      <c r="CE105" s="32"/>
      <c r="CF105" s="32"/>
      <c r="CG105" s="32"/>
      <c r="CH105" s="32"/>
      <c r="CI105" s="32"/>
      <c r="CJ105" s="32"/>
      <c r="CK105" s="32"/>
      <c r="CL105" s="32"/>
      <c r="CM105" s="32"/>
      <c r="CN105" s="32"/>
      <c r="CO105" s="32"/>
      <c r="CP105" s="32"/>
      <c r="CQ105" s="32"/>
      <c r="CR105" s="32"/>
      <c r="CS105" s="32"/>
      <c r="CT105" s="32"/>
      <c r="CU105" s="32"/>
      <c r="CV105" s="32"/>
      <c r="CW105" s="384"/>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row>
    <row r="106" spans="1:131">
      <c r="A106" s="11"/>
      <c r="B106" s="391" t="s">
        <v>639</v>
      </c>
      <c r="C106" s="393"/>
      <c r="D106" s="393"/>
      <c r="E106" s="393"/>
      <c r="F106" s="393"/>
      <c r="G106" s="393"/>
      <c r="H106" s="393"/>
      <c r="I106" s="393"/>
      <c r="J106" s="393"/>
      <c r="K106" s="393"/>
      <c r="L106" s="384"/>
      <c r="M106" s="394"/>
      <c r="N106" s="394"/>
      <c r="O106" s="394"/>
      <c r="P106" s="394"/>
      <c r="Q106" s="394"/>
      <c r="R106" s="394"/>
      <c r="S106" s="394"/>
      <c r="T106" s="394"/>
      <c r="U106" s="394"/>
      <c r="V106" s="394"/>
      <c r="W106" s="394"/>
      <c r="X106" s="394"/>
      <c r="Y106" s="394"/>
      <c r="Z106" s="394"/>
      <c r="AA106" s="394"/>
      <c r="AB106" s="394"/>
      <c r="AC106" s="394"/>
      <c r="AD106" s="394"/>
      <c r="AE106" s="394"/>
      <c r="AF106" s="394"/>
      <c r="AG106" s="394"/>
      <c r="AH106" s="394"/>
      <c r="AI106" s="394"/>
      <c r="AJ106" s="394"/>
      <c r="AK106" s="394"/>
      <c r="AL106" s="394"/>
      <c r="AM106" s="32"/>
      <c r="AN106" s="32"/>
      <c r="AO106" s="32"/>
      <c r="AP106" s="32"/>
      <c r="AQ106" s="32"/>
      <c r="AR106" s="32"/>
      <c r="AS106" s="384"/>
      <c r="AT106" s="32"/>
      <c r="AU106" s="32"/>
      <c r="AV106" s="32"/>
      <c r="AW106" s="32"/>
      <c r="AX106" s="32"/>
      <c r="AY106" s="32"/>
      <c r="AZ106" s="384"/>
      <c r="BA106" s="32"/>
      <c r="BB106" s="32"/>
      <c r="BC106" s="32"/>
      <c r="BD106" s="32"/>
      <c r="BE106" s="32"/>
      <c r="BF106" s="32"/>
      <c r="BG106" s="32"/>
      <c r="BH106" s="384"/>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84"/>
      <c r="CE106" s="32"/>
      <c r="CF106" s="32"/>
      <c r="CG106" s="32"/>
      <c r="CH106" s="32"/>
      <c r="CI106" s="32"/>
      <c r="CJ106" s="32"/>
      <c r="CK106" s="32"/>
      <c r="CL106" s="32"/>
      <c r="CM106" s="32"/>
      <c r="CN106" s="32"/>
      <c r="CO106" s="32"/>
      <c r="CP106" s="32"/>
      <c r="CQ106" s="32"/>
      <c r="CR106" s="32"/>
      <c r="CS106" s="32"/>
      <c r="CT106" s="32"/>
      <c r="CU106" s="32"/>
      <c r="CV106" s="32"/>
      <c r="CW106" s="384"/>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row>
    <row r="107" spans="1:131">
      <c r="A107" s="11"/>
      <c r="B107" s="11" t="s">
        <v>640</v>
      </c>
      <c r="C107" s="32">
        <v>6217.7092183705718</v>
      </c>
      <c r="D107" s="32">
        <v>661.52387617863701</v>
      </c>
      <c r="E107" s="32">
        <v>132.30477523572739</v>
      </c>
      <c r="F107" s="32">
        <v>793.82865141436446</v>
      </c>
      <c r="G107" s="32">
        <v>957.58180623504552</v>
      </c>
      <c r="H107" s="32">
        <v>4484.2753385615797</v>
      </c>
      <c r="I107" s="32">
        <v>1118.4085234870793</v>
      </c>
      <c r="J107" s="32">
        <v>-15.241665115880314</v>
      </c>
      <c r="K107" s="32">
        <v>-6.444229430067236</v>
      </c>
      <c r="L107" s="383">
        <v>589.39992732115559</v>
      </c>
      <c r="M107" s="32">
        <v>59.068510960261207</v>
      </c>
      <c r="N107" s="166">
        <v>258.37629902778451</v>
      </c>
      <c r="O107" s="166">
        <v>189.98998935052094</v>
      </c>
      <c r="P107" s="166">
        <v>175.88824583134013</v>
      </c>
      <c r="Q107" s="166">
        <v>100.58279711822962</v>
      </c>
      <c r="R107" s="166">
        <v>80.792075303020184</v>
      </c>
      <c r="S107" s="166">
        <v>62.702900419152371</v>
      </c>
      <c r="T107" s="166">
        <v>65.673033098422167</v>
      </c>
      <c r="U107" s="166">
        <v>95.364848185959232</v>
      </c>
      <c r="V107" s="166">
        <v>120.27118820852195</v>
      </c>
      <c r="W107" s="166">
        <v>196.0219425840429</v>
      </c>
      <c r="X107" s="166">
        <v>228.53306668397343</v>
      </c>
      <c r="Y107" s="166">
        <v>271.10892099963291</v>
      </c>
      <c r="Z107" s="166"/>
      <c r="AA107" s="166">
        <v>424.23903390812836</v>
      </c>
      <c r="AB107" s="166">
        <v>366.99863957792707</v>
      </c>
      <c r="AC107" s="166">
        <v>368.79662528474313</v>
      </c>
      <c r="AD107" s="166">
        <v>349.44450678063345</v>
      </c>
      <c r="AE107" s="166">
        <v>321.8050991736186</v>
      </c>
      <c r="AF107" s="166">
        <v>292.29994440507693</v>
      </c>
      <c r="AG107" s="166">
        <v>319.55856434385714</v>
      </c>
      <c r="AH107" s="166">
        <v>345.36323665844111</v>
      </c>
      <c r="AI107" s="166">
        <v>370.76350748970827</v>
      </c>
      <c r="AJ107" s="166">
        <v>383.77551403632378</v>
      </c>
      <c r="AK107" s="166">
        <v>404.60395149754254</v>
      </c>
      <c r="AL107" s="166">
        <v>424.75528840397038</v>
      </c>
      <c r="AM107" s="32"/>
      <c r="AN107" s="32"/>
      <c r="AO107" s="32"/>
      <c r="AP107" s="32"/>
      <c r="AQ107" s="32"/>
      <c r="AR107" s="32"/>
      <c r="AS107" s="384"/>
      <c r="AT107" s="32"/>
      <c r="AU107" s="32"/>
      <c r="AV107" s="32"/>
      <c r="AW107" s="32"/>
      <c r="AX107" s="32"/>
      <c r="AY107" s="32"/>
      <c r="AZ107" s="384"/>
      <c r="BA107" s="32"/>
      <c r="BB107" s="32"/>
      <c r="BC107" s="32"/>
      <c r="BD107" s="32"/>
      <c r="BE107" s="32"/>
      <c r="BF107" s="32"/>
      <c r="BG107" s="32"/>
      <c r="BH107" s="384"/>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84"/>
      <c r="CE107" s="32"/>
      <c r="CF107" s="32"/>
      <c r="CG107" s="32"/>
      <c r="CH107" s="32"/>
      <c r="CI107" s="32"/>
      <c r="CJ107" s="32"/>
      <c r="CK107" s="32"/>
      <c r="CL107" s="32"/>
      <c r="CM107" s="32"/>
      <c r="CN107" s="32"/>
      <c r="CO107" s="32"/>
      <c r="CP107" s="32"/>
      <c r="CQ107" s="32"/>
      <c r="CR107" s="32"/>
      <c r="CS107" s="32"/>
      <c r="CT107" s="32"/>
      <c r="CU107" s="32"/>
      <c r="CV107" s="32"/>
      <c r="CW107" s="384"/>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row>
    <row r="108" spans="1:131">
      <c r="A108" s="11"/>
      <c r="B108" s="11" t="s">
        <v>641</v>
      </c>
      <c r="C108" s="32">
        <v>2106.6260497296225</v>
      </c>
      <c r="D108" s="32">
        <v>486.0347316388702</v>
      </c>
      <c r="E108" s="32">
        <v>97.206946327774034</v>
      </c>
      <c r="F108" s="32">
        <v>583.24167796664426</v>
      </c>
      <c r="G108" s="32">
        <v>703.5543734328254</v>
      </c>
      <c r="H108" s="32">
        <v>1519.3202046926176</v>
      </c>
      <c r="I108" s="32">
        <v>2425.2985477149823</v>
      </c>
      <c r="J108" s="32">
        <v>-12.279684252818345</v>
      </c>
      <c r="K108" s="32">
        <v>6.7977883739940532</v>
      </c>
      <c r="L108" s="383">
        <v>2.1653894321005884</v>
      </c>
      <c r="M108" s="32">
        <v>20.013040098429624</v>
      </c>
      <c r="N108" s="166">
        <v>87.540639654953594</v>
      </c>
      <c r="O108" s="166">
        <v>64.37063019466008</v>
      </c>
      <c r="P108" s="166">
        <v>59.592809424859368</v>
      </c>
      <c r="Q108" s="166">
        <v>34.078522028320364</v>
      </c>
      <c r="R108" s="166">
        <v>27.373214871837042</v>
      </c>
      <c r="S108" s="166">
        <v>21.244409922920955</v>
      </c>
      <c r="T108" s="166">
        <v>22.250722481703288</v>
      </c>
      <c r="U108" s="166">
        <v>32.310625402598077</v>
      </c>
      <c r="V108" s="166">
        <v>40.749158446236315</v>
      </c>
      <c r="W108" s="166">
        <v>66.414320139976979</v>
      </c>
      <c r="X108" s="166">
        <v>77.429434956307119</v>
      </c>
      <c r="Y108" s="166">
        <v>91.854587474836507</v>
      </c>
      <c r="Z108" s="166"/>
      <c r="AA108" s="166">
        <v>143.73669928186197</v>
      </c>
      <c r="AB108" s="166">
        <v>124.34304455183289</v>
      </c>
      <c r="AC108" s="166">
        <v>124.95222124279638</v>
      </c>
      <c r="AD108" s="166">
        <v>118.39551755556674</v>
      </c>
      <c r="AE108" s="166">
        <v>109.03099213002884</v>
      </c>
      <c r="AF108" s="166">
        <v>99.034331711579284</v>
      </c>
      <c r="AG108" s="166">
        <v>108.26984222291875</v>
      </c>
      <c r="AH108" s="166">
        <v>117.01273980681142</v>
      </c>
      <c r="AI108" s="166">
        <v>125.61862186466642</v>
      </c>
      <c r="AJ108" s="166">
        <v>130.02722815158702</v>
      </c>
      <c r="AK108" s="166">
        <v>137.08412441192169</v>
      </c>
      <c r="AL108" s="166">
        <v>143.91161179884131</v>
      </c>
      <c r="AM108" s="32"/>
      <c r="AN108" s="32"/>
      <c r="AO108" s="32"/>
      <c r="AP108" s="32"/>
      <c r="AQ108" s="32"/>
      <c r="AR108" s="32"/>
      <c r="AS108" s="384"/>
      <c r="AT108" s="32"/>
      <c r="AU108" s="32"/>
      <c r="AV108" s="32"/>
      <c r="AW108" s="32"/>
      <c r="AX108" s="32"/>
      <c r="AY108" s="32"/>
      <c r="AZ108" s="384"/>
      <c r="BA108" s="32"/>
      <c r="BB108" s="32"/>
      <c r="BC108" s="32"/>
      <c r="BD108" s="32"/>
      <c r="BE108" s="32"/>
      <c r="BF108" s="32"/>
      <c r="BG108" s="32"/>
      <c r="BH108" s="384"/>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84"/>
      <c r="CE108" s="32"/>
      <c r="CF108" s="32"/>
      <c r="CG108" s="32"/>
      <c r="CH108" s="32"/>
      <c r="CI108" s="32"/>
      <c r="CJ108" s="32"/>
      <c r="CK108" s="32"/>
      <c r="CL108" s="32"/>
      <c r="CM108" s="32"/>
      <c r="CN108" s="32"/>
      <c r="CO108" s="32"/>
      <c r="CP108" s="32"/>
      <c r="CQ108" s="32"/>
      <c r="CR108" s="32"/>
      <c r="CS108" s="32"/>
      <c r="CT108" s="32"/>
      <c r="CU108" s="32"/>
      <c r="CV108" s="32"/>
      <c r="CW108" s="384"/>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row>
    <row r="109" spans="1:131">
      <c r="A109" s="11"/>
      <c r="B109" s="11" t="s">
        <v>642</v>
      </c>
      <c r="C109" s="32">
        <v>4111.0831686409492</v>
      </c>
      <c r="D109" s="32">
        <v>1247.4891445397668</v>
      </c>
      <c r="E109" s="32">
        <v>249.49782890795339</v>
      </c>
      <c r="F109" s="32">
        <v>1496.9869734477202</v>
      </c>
      <c r="G109" s="32">
        <v>1805.7895584775854</v>
      </c>
      <c r="H109" s="32">
        <v>2964.9551338689621</v>
      </c>
      <c r="I109" s="32">
        <v>3189.8177072727899</v>
      </c>
      <c r="J109" s="32">
        <v>-10.546951522386559</v>
      </c>
      <c r="K109" s="32">
        <v>14.544252219252586</v>
      </c>
      <c r="L109" s="383">
        <v>1.6478668669513261</v>
      </c>
      <c r="M109" s="32">
        <v>39.05547086183158</v>
      </c>
      <c r="N109" s="166">
        <v>170.83565937283089</v>
      </c>
      <c r="O109" s="166">
        <v>125.61935915586088</v>
      </c>
      <c r="P109" s="166">
        <v>116.29543640648075</v>
      </c>
      <c r="Q109" s="166">
        <v>66.504275089909257</v>
      </c>
      <c r="R109" s="166">
        <v>53.418860431183141</v>
      </c>
      <c r="S109" s="166">
        <v>41.45849049623142</v>
      </c>
      <c r="T109" s="166">
        <v>43.422310616718889</v>
      </c>
      <c r="U109" s="166">
        <v>63.054222783361141</v>
      </c>
      <c r="V109" s="166">
        <v>79.522029762285641</v>
      </c>
      <c r="W109" s="166">
        <v>129.60762244406592</v>
      </c>
      <c r="X109" s="166">
        <v>151.10363172766631</v>
      </c>
      <c r="Y109" s="166">
        <v>179.25433352479641</v>
      </c>
      <c r="Z109" s="166"/>
      <c r="AA109" s="166">
        <v>280.50233462626642</v>
      </c>
      <c r="AB109" s="166">
        <v>242.6555950260942</v>
      </c>
      <c r="AC109" s="166">
        <v>243.84440404194675</v>
      </c>
      <c r="AD109" s="166">
        <v>231.04898922506669</v>
      </c>
      <c r="AE109" s="166">
        <v>212.77410704358977</v>
      </c>
      <c r="AF109" s="166">
        <v>193.26561269349764</v>
      </c>
      <c r="AG109" s="166">
        <v>211.28872212093842</v>
      </c>
      <c r="AH109" s="166">
        <v>228.35049685162966</v>
      </c>
      <c r="AI109" s="166">
        <v>245.14488562504187</v>
      </c>
      <c r="AJ109" s="166">
        <v>253.74828588473676</v>
      </c>
      <c r="AK109" s="166">
        <v>267.51982708562082</v>
      </c>
      <c r="AL109" s="166">
        <v>280.84367660512908</v>
      </c>
      <c r="AM109" s="32"/>
      <c r="AN109" s="32"/>
      <c r="AO109" s="32"/>
      <c r="AP109" s="32"/>
      <c r="AQ109" s="32"/>
      <c r="AR109" s="32"/>
      <c r="AS109" s="384"/>
      <c r="AT109" s="32"/>
      <c r="AU109" s="32"/>
      <c r="AV109" s="32"/>
      <c r="AW109" s="32"/>
      <c r="AX109" s="32"/>
      <c r="AY109" s="32"/>
      <c r="AZ109" s="384"/>
      <c r="BA109" s="32"/>
      <c r="BB109" s="32"/>
      <c r="BC109" s="32"/>
      <c r="BD109" s="32"/>
      <c r="BE109" s="32"/>
      <c r="BF109" s="32"/>
      <c r="BG109" s="32"/>
      <c r="BH109" s="384"/>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84"/>
      <c r="CE109" s="32"/>
      <c r="CF109" s="32"/>
      <c r="CG109" s="32"/>
      <c r="CH109" s="32"/>
      <c r="CI109" s="32"/>
      <c r="CJ109" s="32"/>
      <c r="CK109" s="32"/>
      <c r="CL109" s="32"/>
      <c r="CM109" s="32"/>
      <c r="CN109" s="32"/>
      <c r="CO109" s="32"/>
      <c r="CP109" s="32"/>
      <c r="CQ109" s="32"/>
      <c r="CR109" s="32"/>
      <c r="CS109" s="32"/>
      <c r="CT109" s="32"/>
      <c r="CU109" s="32"/>
      <c r="CV109" s="32"/>
      <c r="CW109" s="384"/>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row>
    <row r="110" spans="1:131">
      <c r="A110" s="11"/>
      <c r="B110" s="11" t="s">
        <v>643</v>
      </c>
      <c r="C110" s="394">
        <v>0</v>
      </c>
      <c r="D110" s="394">
        <v>0</v>
      </c>
      <c r="E110" s="394">
        <v>0</v>
      </c>
      <c r="F110" s="394">
        <v>0</v>
      </c>
      <c r="G110" s="394">
        <v>0</v>
      </c>
      <c r="H110" s="394">
        <v>0</v>
      </c>
      <c r="I110" s="394">
        <v>0</v>
      </c>
      <c r="J110" s="394">
        <v>0</v>
      </c>
      <c r="K110" s="394">
        <v>0</v>
      </c>
      <c r="L110" s="395">
        <v>0</v>
      </c>
      <c r="M110" s="394">
        <v>0</v>
      </c>
      <c r="N110" s="394">
        <v>0</v>
      </c>
      <c r="O110" s="394">
        <v>0</v>
      </c>
      <c r="P110" s="394">
        <v>0</v>
      </c>
      <c r="Q110" s="394">
        <v>0</v>
      </c>
      <c r="R110" s="394">
        <v>0</v>
      </c>
      <c r="S110" s="394">
        <v>0</v>
      </c>
      <c r="T110" s="394">
        <v>0</v>
      </c>
      <c r="U110" s="394">
        <v>0</v>
      </c>
      <c r="V110" s="394">
        <v>0</v>
      </c>
      <c r="W110" s="394">
        <v>0</v>
      </c>
      <c r="X110" s="394">
        <v>0</v>
      </c>
      <c r="Y110" s="394">
        <v>0</v>
      </c>
      <c r="Z110" s="394"/>
      <c r="AA110" s="394">
        <v>0</v>
      </c>
      <c r="AB110" s="394">
        <v>0</v>
      </c>
      <c r="AC110" s="394">
        <v>0</v>
      </c>
      <c r="AD110" s="394">
        <v>0</v>
      </c>
      <c r="AE110" s="394">
        <v>0</v>
      </c>
      <c r="AF110" s="394">
        <v>0</v>
      </c>
      <c r="AG110" s="394">
        <v>0</v>
      </c>
      <c r="AH110" s="394">
        <v>0</v>
      </c>
      <c r="AI110" s="394">
        <v>0</v>
      </c>
      <c r="AJ110" s="394">
        <v>0</v>
      </c>
      <c r="AK110" s="394">
        <v>0</v>
      </c>
      <c r="AL110" s="394">
        <v>0</v>
      </c>
      <c r="AM110" s="32"/>
      <c r="AN110" s="32"/>
      <c r="AO110" s="32"/>
      <c r="AP110" s="32"/>
      <c r="AQ110" s="32"/>
      <c r="AR110" s="32"/>
      <c r="AS110" s="384"/>
      <c r="AT110" s="32"/>
      <c r="AU110" s="32"/>
      <c r="AV110" s="32"/>
      <c r="AW110" s="32"/>
      <c r="AX110" s="32"/>
      <c r="AY110" s="32"/>
      <c r="AZ110" s="384"/>
      <c r="BA110" s="32"/>
      <c r="BB110" s="32"/>
      <c r="BC110" s="32"/>
      <c r="BD110" s="32"/>
      <c r="BE110" s="32"/>
      <c r="BF110" s="32"/>
      <c r="BG110" s="32"/>
      <c r="BH110" s="384"/>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84"/>
      <c r="CE110" s="32"/>
      <c r="CF110" s="32"/>
      <c r="CG110" s="32"/>
      <c r="CH110" s="32"/>
      <c r="CI110" s="32"/>
      <c r="CJ110" s="32"/>
      <c r="CK110" s="32"/>
      <c r="CL110" s="32"/>
      <c r="CM110" s="32"/>
      <c r="CN110" s="32"/>
      <c r="CO110" s="32"/>
      <c r="CP110" s="32"/>
      <c r="CQ110" s="32"/>
      <c r="CR110" s="32"/>
      <c r="CS110" s="32"/>
      <c r="CT110" s="32"/>
      <c r="CU110" s="32"/>
      <c r="CV110" s="32"/>
      <c r="CW110" s="384"/>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row>
    <row r="111" spans="1:131">
      <c r="A111" s="11"/>
      <c r="B111" s="11" t="s">
        <v>644</v>
      </c>
      <c r="C111" s="394">
        <v>0</v>
      </c>
      <c r="D111" s="394">
        <v>0</v>
      </c>
      <c r="E111" s="394">
        <v>0</v>
      </c>
      <c r="F111" s="394">
        <v>0</v>
      </c>
      <c r="G111" s="394">
        <v>0</v>
      </c>
      <c r="H111" s="394">
        <v>0</v>
      </c>
      <c r="I111" s="394">
        <v>0</v>
      </c>
      <c r="J111" s="394">
        <v>0</v>
      </c>
      <c r="K111" s="394">
        <v>0</v>
      </c>
      <c r="L111" s="395">
        <v>0</v>
      </c>
      <c r="M111" s="394">
        <v>0</v>
      </c>
      <c r="N111" s="394">
        <v>0</v>
      </c>
      <c r="O111" s="394">
        <v>0</v>
      </c>
      <c r="P111" s="394">
        <v>0</v>
      </c>
      <c r="Q111" s="394">
        <v>0</v>
      </c>
      <c r="R111" s="394">
        <v>0</v>
      </c>
      <c r="S111" s="394">
        <v>0</v>
      </c>
      <c r="T111" s="394">
        <v>0</v>
      </c>
      <c r="U111" s="394">
        <v>0</v>
      </c>
      <c r="V111" s="394">
        <v>0</v>
      </c>
      <c r="W111" s="394">
        <v>0</v>
      </c>
      <c r="X111" s="394">
        <v>0</v>
      </c>
      <c r="Y111" s="394">
        <v>0</v>
      </c>
      <c r="Z111" s="394"/>
      <c r="AA111" s="394">
        <v>0</v>
      </c>
      <c r="AB111" s="394">
        <v>0</v>
      </c>
      <c r="AC111" s="394">
        <v>0</v>
      </c>
      <c r="AD111" s="394">
        <v>0</v>
      </c>
      <c r="AE111" s="394">
        <v>0</v>
      </c>
      <c r="AF111" s="394">
        <v>0</v>
      </c>
      <c r="AG111" s="394">
        <v>0</v>
      </c>
      <c r="AH111" s="394">
        <v>0</v>
      </c>
      <c r="AI111" s="394">
        <v>0</v>
      </c>
      <c r="AJ111" s="394">
        <v>0</v>
      </c>
      <c r="AK111" s="394">
        <v>0</v>
      </c>
      <c r="AL111" s="394">
        <v>0</v>
      </c>
      <c r="AM111" s="32"/>
      <c r="AN111" s="32"/>
      <c r="AO111" s="32"/>
      <c r="AP111" s="32"/>
      <c r="AQ111" s="32"/>
      <c r="AR111" s="32"/>
      <c r="AS111" s="384"/>
      <c r="AT111" s="32"/>
      <c r="AU111" s="32"/>
      <c r="AV111" s="32"/>
      <c r="AW111" s="32"/>
      <c r="AX111" s="32"/>
      <c r="AY111" s="32"/>
      <c r="AZ111" s="384"/>
      <c r="BA111" s="32"/>
      <c r="BB111" s="32"/>
      <c r="BC111" s="32"/>
      <c r="BD111" s="32"/>
      <c r="BE111" s="32"/>
      <c r="BF111" s="32"/>
      <c r="BG111" s="32"/>
      <c r="BH111" s="384"/>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84"/>
      <c r="CE111" s="32"/>
      <c r="CF111" s="32"/>
      <c r="CG111" s="32"/>
      <c r="CH111" s="32"/>
      <c r="CI111" s="32"/>
      <c r="CJ111" s="32"/>
      <c r="CK111" s="32"/>
      <c r="CL111" s="32"/>
      <c r="CM111" s="32"/>
      <c r="CN111" s="32"/>
      <c r="CO111" s="32"/>
      <c r="CP111" s="32"/>
      <c r="CQ111" s="32"/>
      <c r="CR111" s="32"/>
      <c r="CS111" s="32"/>
      <c r="CT111" s="32"/>
      <c r="CU111" s="32"/>
      <c r="CV111" s="32"/>
      <c r="CW111" s="384"/>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row>
    <row r="112" spans="1:131">
      <c r="A112" s="11"/>
      <c r="B112" s="11" t="s">
        <v>645</v>
      </c>
      <c r="C112" s="394">
        <v>0</v>
      </c>
      <c r="D112" s="394">
        <v>0</v>
      </c>
      <c r="E112" s="394">
        <v>0</v>
      </c>
      <c r="F112" s="394">
        <v>0</v>
      </c>
      <c r="G112" s="394">
        <v>0</v>
      </c>
      <c r="H112" s="394">
        <v>0</v>
      </c>
      <c r="I112" s="394">
        <v>0</v>
      </c>
      <c r="J112" s="394">
        <v>0</v>
      </c>
      <c r="K112" s="394">
        <v>0</v>
      </c>
      <c r="L112" s="395">
        <v>0</v>
      </c>
      <c r="M112" s="394">
        <v>0</v>
      </c>
      <c r="N112" s="394">
        <v>0</v>
      </c>
      <c r="O112" s="394">
        <v>0</v>
      </c>
      <c r="P112" s="394">
        <v>0</v>
      </c>
      <c r="Q112" s="394">
        <v>0</v>
      </c>
      <c r="R112" s="394">
        <v>0</v>
      </c>
      <c r="S112" s="394">
        <v>0</v>
      </c>
      <c r="T112" s="394">
        <v>0</v>
      </c>
      <c r="U112" s="394">
        <v>0</v>
      </c>
      <c r="V112" s="394">
        <v>0</v>
      </c>
      <c r="W112" s="394">
        <v>0</v>
      </c>
      <c r="X112" s="394">
        <v>0</v>
      </c>
      <c r="Y112" s="394">
        <v>0</v>
      </c>
      <c r="Z112" s="394"/>
      <c r="AA112" s="394">
        <v>0</v>
      </c>
      <c r="AB112" s="394">
        <v>0</v>
      </c>
      <c r="AC112" s="394">
        <v>0</v>
      </c>
      <c r="AD112" s="394">
        <v>0</v>
      </c>
      <c r="AE112" s="394">
        <v>0</v>
      </c>
      <c r="AF112" s="394">
        <v>0</v>
      </c>
      <c r="AG112" s="394">
        <v>0</v>
      </c>
      <c r="AH112" s="394">
        <v>0</v>
      </c>
      <c r="AI112" s="394">
        <v>0</v>
      </c>
      <c r="AJ112" s="394">
        <v>0</v>
      </c>
      <c r="AK112" s="394">
        <v>0</v>
      </c>
      <c r="AL112" s="394">
        <v>0</v>
      </c>
      <c r="AM112" s="32"/>
      <c r="AN112" s="32"/>
      <c r="AO112" s="32"/>
      <c r="AP112" s="32"/>
      <c r="AQ112" s="32"/>
      <c r="AR112" s="32"/>
      <c r="AS112" s="384"/>
      <c r="AT112" s="32"/>
      <c r="AU112" s="32"/>
      <c r="AV112" s="32"/>
      <c r="AW112" s="32"/>
      <c r="AX112" s="32"/>
      <c r="AY112" s="32"/>
      <c r="AZ112" s="384"/>
      <c r="BA112" s="32"/>
      <c r="BB112" s="32"/>
      <c r="BC112" s="32"/>
      <c r="BD112" s="32"/>
      <c r="BE112" s="32"/>
      <c r="BF112" s="32"/>
      <c r="BG112" s="32"/>
      <c r="BH112" s="384"/>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84"/>
      <c r="CE112" s="32"/>
      <c r="CF112" s="32"/>
      <c r="CG112" s="32"/>
      <c r="CH112" s="32"/>
      <c r="CI112" s="32"/>
      <c r="CJ112" s="32"/>
      <c r="CK112" s="32"/>
      <c r="CL112" s="32"/>
      <c r="CM112" s="32"/>
      <c r="CN112" s="32"/>
      <c r="CO112" s="32"/>
      <c r="CP112" s="32"/>
      <c r="CQ112" s="32"/>
      <c r="CR112" s="32"/>
      <c r="CS112" s="32"/>
      <c r="CT112" s="32"/>
      <c r="CU112" s="32"/>
      <c r="CV112" s="32"/>
      <c r="CW112" s="384"/>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row>
    <row r="113" spans="1:131">
      <c r="A113" s="11"/>
      <c r="B113" s="11" t="s">
        <v>646</v>
      </c>
      <c r="C113" s="394">
        <v>0</v>
      </c>
      <c r="D113" s="394">
        <v>0</v>
      </c>
      <c r="E113" s="394">
        <v>0</v>
      </c>
      <c r="F113" s="394">
        <v>0</v>
      </c>
      <c r="G113" s="394">
        <v>0</v>
      </c>
      <c r="H113" s="394">
        <v>0</v>
      </c>
      <c r="I113" s="394">
        <v>0</v>
      </c>
      <c r="J113" s="394">
        <v>0</v>
      </c>
      <c r="K113" s="394">
        <v>0</v>
      </c>
      <c r="L113" s="395">
        <v>0</v>
      </c>
      <c r="M113" s="394">
        <v>0</v>
      </c>
      <c r="N113" s="394">
        <v>0</v>
      </c>
      <c r="O113" s="394">
        <v>0</v>
      </c>
      <c r="P113" s="394">
        <v>0</v>
      </c>
      <c r="Q113" s="394">
        <v>0</v>
      </c>
      <c r="R113" s="394">
        <v>0</v>
      </c>
      <c r="S113" s="394">
        <v>0</v>
      </c>
      <c r="T113" s="394">
        <v>0</v>
      </c>
      <c r="U113" s="394">
        <v>0</v>
      </c>
      <c r="V113" s="394">
        <v>0</v>
      </c>
      <c r="W113" s="394">
        <v>0</v>
      </c>
      <c r="X113" s="394">
        <v>0</v>
      </c>
      <c r="Y113" s="394">
        <v>0</v>
      </c>
      <c r="Z113" s="394"/>
      <c r="AA113" s="394">
        <v>0</v>
      </c>
      <c r="AB113" s="394">
        <v>0</v>
      </c>
      <c r="AC113" s="394">
        <v>0</v>
      </c>
      <c r="AD113" s="394">
        <v>0</v>
      </c>
      <c r="AE113" s="394">
        <v>0</v>
      </c>
      <c r="AF113" s="394">
        <v>0</v>
      </c>
      <c r="AG113" s="394">
        <v>0</v>
      </c>
      <c r="AH113" s="394">
        <v>0</v>
      </c>
      <c r="AI113" s="394">
        <v>0</v>
      </c>
      <c r="AJ113" s="394">
        <v>0</v>
      </c>
      <c r="AK113" s="394">
        <v>0</v>
      </c>
      <c r="AL113" s="394">
        <v>0</v>
      </c>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row>
    <row r="114" spans="1:131">
      <c r="A114" s="11"/>
      <c r="B114" s="11" t="s">
        <v>647</v>
      </c>
      <c r="C114" s="394">
        <v>0</v>
      </c>
      <c r="D114" s="394">
        <v>0</v>
      </c>
      <c r="E114" s="394">
        <v>0</v>
      </c>
      <c r="F114" s="394">
        <v>0</v>
      </c>
      <c r="G114" s="394">
        <v>0</v>
      </c>
      <c r="H114" s="394">
        <v>0</v>
      </c>
      <c r="I114" s="394">
        <v>0</v>
      </c>
      <c r="J114" s="394">
        <v>0</v>
      </c>
      <c r="K114" s="394">
        <v>0</v>
      </c>
      <c r="L114" s="395">
        <v>0</v>
      </c>
      <c r="M114" s="394">
        <v>0</v>
      </c>
      <c r="N114" s="394">
        <v>0</v>
      </c>
      <c r="O114" s="394">
        <v>0</v>
      </c>
      <c r="P114" s="394">
        <v>0</v>
      </c>
      <c r="Q114" s="394">
        <v>0</v>
      </c>
      <c r="R114" s="394">
        <v>0</v>
      </c>
      <c r="S114" s="394">
        <v>0</v>
      </c>
      <c r="T114" s="394">
        <v>0</v>
      </c>
      <c r="U114" s="394">
        <v>0</v>
      </c>
      <c r="V114" s="394">
        <v>0</v>
      </c>
      <c r="W114" s="394">
        <v>0</v>
      </c>
      <c r="X114" s="394">
        <v>0</v>
      </c>
      <c r="Y114" s="394">
        <v>0</v>
      </c>
      <c r="Z114" s="394"/>
      <c r="AA114" s="394">
        <v>0</v>
      </c>
      <c r="AB114" s="394">
        <v>0</v>
      </c>
      <c r="AC114" s="394">
        <v>0</v>
      </c>
      <c r="AD114" s="394">
        <v>0</v>
      </c>
      <c r="AE114" s="394">
        <v>0</v>
      </c>
      <c r="AF114" s="394">
        <v>0</v>
      </c>
      <c r="AG114" s="394">
        <v>0</v>
      </c>
      <c r="AH114" s="394">
        <v>0</v>
      </c>
      <c r="AI114" s="394">
        <v>0</v>
      </c>
      <c r="AJ114" s="394">
        <v>0</v>
      </c>
      <c r="AK114" s="394">
        <v>0</v>
      </c>
      <c r="AL114" s="394">
        <v>0</v>
      </c>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row>
    <row r="115" spans="1:131">
      <c r="A115" s="11"/>
      <c r="B115" s="11" t="s">
        <v>648</v>
      </c>
      <c r="C115" s="394">
        <v>0</v>
      </c>
      <c r="D115" s="394">
        <v>0</v>
      </c>
      <c r="E115" s="394">
        <v>0</v>
      </c>
      <c r="F115" s="394">
        <v>0</v>
      </c>
      <c r="G115" s="394">
        <v>0</v>
      </c>
      <c r="H115" s="394">
        <v>0</v>
      </c>
      <c r="I115" s="394">
        <v>0</v>
      </c>
      <c r="J115" s="394">
        <v>0</v>
      </c>
      <c r="K115" s="394">
        <v>0</v>
      </c>
      <c r="L115" s="395">
        <v>0</v>
      </c>
      <c r="M115" s="394">
        <v>0</v>
      </c>
      <c r="N115" s="394">
        <v>0</v>
      </c>
      <c r="O115" s="394">
        <v>0</v>
      </c>
      <c r="P115" s="394">
        <v>0</v>
      </c>
      <c r="Q115" s="394">
        <v>0</v>
      </c>
      <c r="R115" s="394">
        <v>0</v>
      </c>
      <c r="S115" s="394">
        <v>0</v>
      </c>
      <c r="T115" s="394">
        <v>0</v>
      </c>
      <c r="U115" s="394">
        <v>0</v>
      </c>
      <c r="V115" s="394">
        <v>0</v>
      </c>
      <c r="W115" s="394">
        <v>0</v>
      </c>
      <c r="X115" s="394">
        <v>0</v>
      </c>
      <c r="Y115" s="394">
        <v>0</v>
      </c>
      <c r="Z115" s="394"/>
      <c r="AA115" s="394">
        <v>0</v>
      </c>
      <c r="AB115" s="394">
        <v>0</v>
      </c>
      <c r="AC115" s="394">
        <v>0</v>
      </c>
      <c r="AD115" s="394">
        <v>0</v>
      </c>
      <c r="AE115" s="394">
        <v>0</v>
      </c>
      <c r="AF115" s="394">
        <v>0</v>
      </c>
      <c r="AG115" s="394">
        <v>0</v>
      </c>
      <c r="AH115" s="394">
        <v>0</v>
      </c>
      <c r="AI115" s="394">
        <v>0</v>
      </c>
      <c r="AJ115" s="394">
        <v>0</v>
      </c>
      <c r="AK115" s="394">
        <v>0</v>
      </c>
      <c r="AL115" s="394">
        <v>0</v>
      </c>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row>
    <row r="116" spans="1:131">
      <c r="A116" s="11"/>
      <c r="B116" s="11" t="s">
        <v>649</v>
      </c>
      <c r="C116" s="394">
        <v>0</v>
      </c>
      <c r="D116" s="394">
        <v>0</v>
      </c>
      <c r="E116" s="394">
        <v>0</v>
      </c>
      <c r="F116" s="394">
        <v>0</v>
      </c>
      <c r="G116" s="394">
        <v>0</v>
      </c>
      <c r="H116" s="394">
        <v>0</v>
      </c>
      <c r="I116" s="394">
        <v>0</v>
      </c>
      <c r="J116" s="394">
        <v>0</v>
      </c>
      <c r="K116" s="394">
        <v>0</v>
      </c>
      <c r="L116" s="395">
        <v>0</v>
      </c>
      <c r="M116" s="394">
        <v>0</v>
      </c>
      <c r="N116" s="394">
        <v>0</v>
      </c>
      <c r="O116" s="394">
        <v>0</v>
      </c>
      <c r="P116" s="394">
        <v>0</v>
      </c>
      <c r="Q116" s="394">
        <v>0</v>
      </c>
      <c r="R116" s="394">
        <v>0</v>
      </c>
      <c r="S116" s="394">
        <v>0</v>
      </c>
      <c r="T116" s="394">
        <v>0</v>
      </c>
      <c r="U116" s="394">
        <v>0</v>
      </c>
      <c r="V116" s="394">
        <v>0</v>
      </c>
      <c r="W116" s="394">
        <v>0</v>
      </c>
      <c r="X116" s="394">
        <v>0</v>
      </c>
      <c r="Y116" s="394">
        <v>0</v>
      </c>
      <c r="Z116" s="394"/>
      <c r="AA116" s="394">
        <v>0</v>
      </c>
      <c r="AB116" s="394">
        <v>0</v>
      </c>
      <c r="AC116" s="394">
        <v>0</v>
      </c>
      <c r="AD116" s="394">
        <v>0</v>
      </c>
      <c r="AE116" s="394">
        <v>0</v>
      </c>
      <c r="AF116" s="394">
        <v>0</v>
      </c>
      <c r="AG116" s="394">
        <v>0</v>
      </c>
      <c r="AH116" s="394">
        <v>0</v>
      </c>
      <c r="AI116" s="394">
        <v>0</v>
      </c>
      <c r="AJ116" s="394">
        <v>0</v>
      </c>
      <c r="AK116" s="394">
        <v>0</v>
      </c>
      <c r="AL116" s="394">
        <v>0</v>
      </c>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row>
    <row r="117" spans="1:131">
      <c r="A117" s="11"/>
      <c r="B117" s="11" t="s">
        <v>650</v>
      </c>
      <c r="C117" s="394">
        <v>0</v>
      </c>
      <c r="D117" s="394">
        <v>0</v>
      </c>
      <c r="E117" s="394">
        <v>0</v>
      </c>
      <c r="F117" s="394">
        <v>0</v>
      </c>
      <c r="G117" s="394">
        <v>0</v>
      </c>
      <c r="H117" s="394">
        <v>0</v>
      </c>
      <c r="I117" s="394">
        <v>0</v>
      </c>
      <c r="J117" s="394">
        <v>0</v>
      </c>
      <c r="K117" s="394">
        <v>0</v>
      </c>
      <c r="L117" s="395">
        <v>0</v>
      </c>
      <c r="M117" s="394">
        <v>0</v>
      </c>
      <c r="N117" s="394">
        <v>0</v>
      </c>
      <c r="O117" s="394">
        <v>0</v>
      </c>
      <c r="P117" s="394">
        <v>0</v>
      </c>
      <c r="Q117" s="394">
        <v>0</v>
      </c>
      <c r="R117" s="394">
        <v>0</v>
      </c>
      <c r="S117" s="394">
        <v>0</v>
      </c>
      <c r="T117" s="394">
        <v>0</v>
      </c>
      <c r="U117" s="394">
        <v>0</v>
      </c>
      <c r="V117" s="394">
        <v>0</v>
      </c>
      <c r="W117" s="394">
        <v>0</v>
      </c>
      <c r="X117" s="394">
        <v>0</v>
      </c>
      <c r="Y117" s="394">
        <v>0</v>
      </c>
      <c r="Z117" s="394"/>
      <c r="AA117" s="394">
        <v>0</v>
      </c>
      <c r="AB117" s="394">
        <v>0</v>
      </c>
      <c r="AC117" s="394">
        <v>0</v>
      </c>
      <c r="AD117" s="394">
        <v>0</v>
      </c>
      <c r="AE117" s="394">
        <v>0</v>
      </c>
      <c r="AF117" s="394">
        <v>0</v>
      </c>
      <c r="AG117" s="394">
        <v>0</v>
      </c>
      <c r="AH117" s="394">
        <v>0</v>
      </c>
      <c r="AI117" s="394">
        <v>0</v>
      </c>
      <c r="AJ117" s="394">
        <v>0</v>
      </c>
      <c r="AK117" s="394">
        <v>0</v>
      </c>
      <c r="AL117" s="394">
        <v>0</v>
      </c>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row>
    <row r="118" spans="1:131">
      <c r="A118" s="11"/>
      <c r="B118" s="11" t="s">
        <v>651</v>
      </c>
      <c r="C118" s="394">
        <v>0</v>
      </c>
      <c r="D118" s="394">
        <v>0</v>
      </c>
      <c r="E118" s="394">
        <v>0</v>
      </c>
      <c r="F118" s="394">
        <v>0</v>
      </c>
      <c r="G118" s="394">
        <v>0</v>
      </c>
      <c r="H118" s="394">
        <v>0</v>
      </c>
      <c r="I118" s="394">
        <v>0</v>
      </c>
      <c r="J118" s="394">
        <v>0</v>
      </c>
      <c r="K118" s="394">
        <v>0</v>
      </c>
      <c r="L118" s="395">
        <v>0</v>
      </c>
      <c r="M118" s="394">
        <v>0</v>
      </c>
      <c r="N118" s="394">
        <v>0</v>
      </c>
      <c r="O118" s="394">
        <v>0</v>
      </c>
      <c r="P118" s="394">
        <v>0</v>
      </c>
      <c r="Q118" s="394">
        <v>0</v>
      </c>
      <c r="R118" s="394">
        <v>0</v>
      </c>
      <c r="S118" s="394">
        <v>0</v>
      </c>
      <c r="T118" s="394">
        <v>0</v>
      </c>
      <c r="U118" s="394">
        <v>0</v>
      </c>
      <c r="V118" s="394">
        <v>0</v>
      </c>
      <c r="W118" s="394">
        <v>0</v>
      </c>
      <c r="X118" s="394">
        <v>0</v>
      </c>
      <c r="Y118" s="394">
        <v>0</v>
      </c>
      <c r="Z118" s="394"/>
      <c r="AA118" s="394">
        <v>0</v>
      </c>
      <c r="AB118" s="394">
        <v>0</v>
      </c>
      <c r="AC118" s="394">
        <v>0</v>
      </c>
      <c r="AD118" s="394">
        <v>0</v>
      </c>
      <c r="AE118" s="394">
        <v>0</v>
      </c>
      <c r="AF118" s="394">
        <v>0</v>
      </c>
      <c r="AG118" s="394">
        <v>0</v>
      </c>
      <c r="AH118" s="394">
        <v>0</v>
      </c>
      <c r="AI118" s="394">
        <v>0</v>
      </c>
      <c r="AJ118" s="394">
        <v>0</v>
      </c>
      <c r="AK118" s="394">
        <v>0</v>
      </c>
      <c r="AL118" s="394">
        <v>0</v>
      </c>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row>
    <row r="119" spans="1:131">
      <c r="A119" s="11"/>
      <c r="B119" s="11" t="s">
        <v>652</v>
      </c>
      <c r="C119" s="394">
        <v>0</v>
      </c>
      <c r="D119" s="394">
        <v>0</v>
      </c>
      <c r="E119" s="394">
        <v>0</v>
      </c>
      <c r="F119" s="394">
        <v>0</v>
      </c>
      <c r="G119" s="394">
        <v>0</v>
      </c>
      <c r="H119" s="394">
        <v>0</v>
      </c>
      <c r="I119" s="394">
        <v>0</v>
      </c>
      <c r="J119" s="394">
        <v>0</v>
      </c>
      <c r="K119" s="394">
        <v>0</v>
      </c>
      <c r="L119" s="395">
        <v>0</v>
      </c>
      <c r="M119" s="394">
        <v>0</v>
      </c>
      <c r="N119" s="394">
        <v>0</v>
      </c>
      <c r="O119" s="394">
        <v>0</v>
      </c>
      <c r="P119" s="394">
        <v>0</v>
      </c>
      <c r="Q119" s="394">
        <v>0</v>
      </c>
      <c r="R119" s="394">
        <v>0</v>
      </c>
      <c r="S119" s="394">
        <v>0</v>
      </c>
      <c r="T119" s="394">
        <v>0</v>
      </c>
      <c r="U119" s="394">
        <v>0</v>
      </c>
      <c r="V119" s="394">
        <v>0</v>
      </c>
      <c r="W119" s="394">
        <v>0</v>
      </c>
      <c r="X119" s="394">
        <v>0</v>
      </c>
      <c r="Y119" s="394">
        <v>0</v>
      </c>
      <c r="Z119" s="394"/>
      <c r="AA119" s="394">
        <v>0</v>
      </c>
      <c r="AB119" s="394">
        <v>0</v>
      </c>
      <c r="AC119" s="394">
        <v>0</v>
      </c>
      <c r="AD119" s="394">
        <v>0</v>
      </c>
      <c r="AE119" s="394">
        <v>0</v>
      </c>
      <c r="AF119" s="394">
        <v>0</v>
      </c>
      <c r="AG119" s="394">
        <v>0</v>
      </c>
      <c r="AH119" s="394">
        <v>0</v>
      </c>
      <c r="AI119" s="394">
        <v>0</v>
      </c>
      <c r="AJ119" s="394">
        <v>0</v>
      </c>
      <c r="AK119" s="394">
        <v>0</v>
      </c>
      <c r="AL119" s="394">
        <v>0</v>
      </c>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row>
    <row r="120" spans="1:131">
      <c r="A120" s="11"/>
      <c r="B120" s="11" t="s">
        <v>653</v>
      </c>
      <c r="C120" s="394">
        <v>0</v>
      </c>
      <c r="D120" s="394">
        <v>0</v>
      </c>
      <c r="E120" s="394">
        <v>0</v>
      </c>
      <c r="F120" s="394">
        <v>0</v>
      </c>
      <c r="G120" s="394">
        <v>0</v>
      </c>
      <c r="H120" s="394">
        <v>0</v>
      </c>
      <c r="I120" s="394">
        <v>0</v>
      </c>
      <c r="J120" s="394">
        <v>0</v>
      </c>
      <c r="K120" s="394">
        <v>0</v>
      </c>
      <c r="L120" s="395">
        <v>0</v>
      </c>
      <c r="M120" s="394">
        <v>0</v>
      </c>
      <c r="N120" s="394">
        <v>0</v>
      </c>
      <c r="O120" s="394">
        <v>0</v>
      </c>
      <c r="P120" s="394">
        <v>0</v>
      </c>
      <c r="Q120" s="394">
        <v>0</v>
      </c>
      <c r="R120" s="394">
        <v>0</v>
      </c>
      <c r="S120" s="394">
        <v>0</v>
      </c>
      <c r="T120" s="394">
        <v>0</v>
      </c>
      <c r="U120" s="394">
        <v>0</v>
      </c>
      <c r="V120" s="394">
        <v>0</v>
      </c>
      <c r="W120" s="394">
        <v>0</v>
      </c>
      <c r="X120" s="394">
        <v>0</v>
      </c>
      <c r="Y120" s="394">
        <v>0</v>
      </c>
      <c r="Z120" s="394"/>
      <c r="AA120" s="394">
        <v>0</v>
      </c>
      <c r="AB120" s="394">
        <v>0</v>
      </c>
      <c r="AC120" s="394">
        <v>0</v>
      </c>
      <c r="AD120" s="394">
        <v>0</v>
      </c>
      <c r="AE120" s="394">
        <v>0</v>
      </c>
      <c r="AF120" s="394">
        <v>0</v>
      </c>
      <c r="AG120" s="394">
        <v>0</v>
      </c>
      <c r="AH120" s="394">
        <v>0</v>
      </c>
      <c r="AI120" s="394">
        <v>0</v>
      </c>
      <c r="AJ120" s="394">
        <v>0</v>
      </c>
      <c r="AK120" s="394">
        <v>0</v>
      </c>
      <c r="AL120" s="394">
        <v>0</v>
      </c>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row>
    <row r="121" spans="1:131">
      <c r="A121" s="11"/>
      <c r="B121" s="11" t="s">
        <v>654</v>
      </c>
      <c r="C121" s="394">
        <v>0</v>
      </c>
      <c r="D121" s="394">
        <v>0</v>
      </c>
      <c r="E121" s="394">
        <v>0</v>
      </c>
      <c r="F121" s="394">
        <v>0</v>
      </c>
      <c r="G121" s="394">
        <v>0</v>
      </c>
      <c r="H121" s="394">
        <v>0</v>
      </c>
      <c r="I121" s="394">
        <v>0</v>
      </c>
      <c r="J121" s="394">
        <v>0</v>
      </c>
      <c r="K121" s="394">
        <v>0</v>
      </c>
      <c r="L121" s="395">
        <v>0</v>
      </c>
      <c r="M121" s="394">
        <v>0</v>
      </c>
      <c r="N121" s="394">
        <v>0</v>
      </c>
      <c r="O121" s="394">
        <v>0</v>
      </c>
      <c r="P121" s="394">
        <v>0</v>
      </c>
      <c r="Q121" s="394">
        <v>0</v>
      </c>
      <c r="R121" s="394">
        <v>0</v>
      </c>
      <c r="S121" s="394">
        <v>0</v>
      </c>
      <c r="T121" s="394">
        <v>0</v>
      </c>
      <c r="U121" s="394">
        <v>0</v>
      </c>
      <c r="V121" s="394">
        <v>0</v>
      </c>
      <c r="W121" s="394">
        <v>0</v>
      </c>
      <c r="X121" s="394">
        <v>0</v>
      </c>
      <c r="Y121" s="394">
        <v>0</v>
      </c>
      <c r="Z121" s="394"/>
      <c r="AA121" s="394">
        <v>0</v>
      </c>
      <c r="AB121" s="394">
        <v>0</v>
      </c>
      <c r="AC121" s="394">
        <v>0</v>
      </c>
      <c r="AD121" s="394">
        <v>0</v>
      </c>
      <c r="AE121" s="394">
        <v>0</v>
      </c>
      <c r="AF121" s="394">
        <v>0</v>
      </c>
      <c r="AG121" s="394">
        <v>0</v>
      </c>
      <c r="AH121" s="394">
        <v>0</v>
      </c>
      <c r="AI121" s="394">
        <v>0</v>
      </c>
      <c r="AJ121" s="394">
        <v>0</v>
      </c>
      <c r="AK121" s="394">
        <v>0</v>
      </c>
      <c r="AL121" s="394">
        <v>0</v>
      </c>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row>
    <row r="122" spans="1:131">
      <c r="A122" s="11"/>
      <c r="B122" s="11" t="s">
        <v>655</v>
      </c>
      <c r="C122" s="394">
        <v>0</v>
      </c>
      <c r="D122" s="394">
        <v>0</v>
      </c>
      <c r="E122" s="394">
        <v>0</v>
      </c>
      <c r="F122" s="394">
        <v>0</v>
      </c>
      <c r="G122" s="394">
        <v>0</v>
      </c>
      <c r="H122" s="394">
        <v>0</v>
      </c>
      <c r="I122" s="394">
        <v>0</v>
      </c>
      <c r="J122" s="394">
        <v>0</v>
      </c>
      <c r="K122" s="394">
        <v>0</v>
      </c>
      <c r="L122" s="395">
        <v>0</v>
      </c>
      <c r="M122" s="394">
        <v>0</v>
      </c>
      <c r="N122" s="394">
        <v>0</v>
      </c>
      <c r="O122" s="394">
        <v>0</v>
      </c>
      <c r="P122" s="394">
        <v>0</v>
      </c>
      <c r="Q122" s="394">
        <v>0</v>
      </c>
      <c r="R122" s="394">
        <v>0</v>
      </c>
      <c r="S122" s="394">
        <v>0</v>
      </c>
      <c r="T122" s="394">
        <v>0</v>
      </c>
      <c r="U122" s="394">
        <v>0</v>
      </c>
      <c r="V122" s="394">
        <v>0</v>
      </c>
      <c r="W122" s="394">
        <v>0</v>
      </c>
      <c r="X122" s="394">
        <v>0</v>
      </c>
      <c r="Y122" s="394">
        <v>0</v>
      </c>
      <c r="Z122" s="394"/>
      <c r="AA122" s="394">
        <v>0</v>
      </c>
      <c r="AB122" s="394">
        <v>0</v>
      </c>
      <c r="AC122" s="394">
        <v>0</v>
      </c>
      <c r="AD122" s="394">
        <v>0</v>
      </c>
      <c r="AE122" s="394">
        <v>0</v>
      </c>
      <c r="AF122" s="394">
        <v>0</v>
      </c>
      <c r="AG122" s="394">
        <v>0</v>
      </c>
      <c r="AH122" s="394">
        <v>0</v>
      </c>
      <c r="AI122" s="394">
        <v>0</v>
      </c>
      <c r="AJ122" s="394">
        <v>0</v>
      </c>
      <c r="AK122" s="394">
        <v>0</v>
      </c>
      <c r="AL122" s="394">
        <v>0</v>
      </c>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row>
    <row r="123" spans="1:131">
      <c r="A123" s="11"/>
      <c r="B123" s="11" t="s">
        <v>656</v>
      </c>
      <c r="C123" s="394">
        <v>0</v>
      </c>
      <c r="D123" s="394">
        <v>0</v>
      </c>
      <c r="E123" s="394">
        <v>0</v>
      </c>
      <c r="F123" s="394">
        <v>0</v>
      </c>
      <c r="G123" s="394">
        <v>0</v>
      </c>
      <c r="H123" s="394">
        <v>0</v>
      </c>
      <c r="I123" s="394">
        <v>0</v>
      </c>
      <c r="J123" s="394">
        <v>0</v>
      </c>
      <c r="K123" s="394">
        <v>0</v>
      </c>
      <c r="L123" s="395">
        <v>0</v>
      </c>
      <c r="M123" s="394">
        <v>0</v>
      </c>
      <c r="N123" s="394">
        <v>0</v>
      </c>
      <c r="O123" s="394">
        <v>0</v>
      </c>
      <c r="P123" s="394">
        <v>0</v>
      </c>
      <c r="Q123" s="394">
        <v>0</v>
      </c>
      <c r="R123" s="394">
        <v>0</v>
      </c>
      <c r="S123" s="394">
        <v>0</v>
      </c>
      <c r="T123" s="394">
        <v>0</v>
      </c>
      <c r="U123" s="394">
        <v>0</v>
      </c>
      <c r="V123" s="394">
        <v>0</v>
      </c>
      <c r="W123" s="394">
        <v>0</v>
      </c>
      <c r="X123" s="394">
        <v>0</v>
      </c>
      <c r="Y123" s="394">
        <v>0</v>
      </c>
      <c r="Z123" s="394"/>
      <c r="AA123" s="394">
        <v>0</v>
      </c>
      <c r="AB123" s="394">
        <v>0</v>
      </c>
      <c r="AC123" s="394">
        <v>0</v>
      </c>
      <c r="AD123" s="394">
        <v>0</v>
      </c>
      <c r="AE123" s="394">
        <v>0</v>
      </c>
      <c r="AF123" s="394">
        <v>0</v>
      </c>
      <c r="AG123" s="394">
        <v>0</v>
      </c>
      <c r="AH123" s="394">
        <v>0</v>
      </c>
      <c r="AI123" s="394">
        <v>0</v>
      </c>
      <c r="AJ123" s="394">
        <v>0</v>
      </c>
      <c r="AK123" s="394">
        <v>0</v>
      </c>
      <c r="AL123" s="394">
        <v>0</v>
      </c>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row>
    <row r="124" spans="1:131">
      <c r="A124" s="11"/>
      <c r="B124" s="11" t="s">
        <v>657</v>
      </c>
      <c r="C124" s="394">
        <v>0</v>
      </c>
      <c r="D124" s="394">
        <v>0</v>
      </c>
      <c r="E124" s="394">
        <v>0</v>
      </c>
      <c r="F124" s="394">
        <v>0</v>
      </c>
      <c r="G124" s="394">
        <v>0</v>
      </c>
      <c r="H124" s="394">
        <v>0</v>
      </c>
      <c r="I124" s="394">
        <v>0</v>
      </c>
      <c r="J124" s="394">
        <v>0</v>
      </c>
      <c r="K124" s="394">
        <v>0</v>
      </c>
      <c r="L124" s="395">
        <v>0</v>
      </c>
      <c r="M124" s="394">
        <v>0</v>
      </c>
      <c r="N124" s="394">
        <v>0</v>
      </c>
      <c r="O124" s="394">
        <v>0</v>
      </c>
      <c r="P124" s="394">
        <v>0</v>
      </c>
      <c r="Q124" s="394">
        <v>0</v>
      </c>
      <c r="R124" s="394">
        <v>0</v>
      </c>
      <c r="S124" s="394">
        <v>0</v>
      </c>
      <c r="T124" s="394">
        <v>0</v>
      </c>
      <c r="U124" s="394">
        <v>0</v>
      </c>
      <c r="V124" s="394">
        <v>0</v>
      </c>
      <c r="W124" s="394">
        <v>0</v>
      </c>
      <c r="X124" s="394">
        <v>0</v>
      </c>
      <c r="Y124" s="394">
        <v>0</v>
      </c>
      <c r="Z124" s="394"/>
      <c r="AA124" s="394">
        <v>0</v>
      </c>
      <c r="AB124" s="394">
        <v>0</v>
      </c>
      <c r="AC124" s="394">
        <v>0</v>
      </c>
      <c r="AD124" s="394">
        <v>0</v>
      </c>
      <c r="AE124" s="394">
        <v>0</v>
      </c>
      <c r="AF124" s="394">
        <v>0</v>
      </c>
      <c r="AG124" s="394">
        <v>0</v>
      </c>
      <c r="AH124" s="394">
        <v>0</v>
      </c>
      <c r="AI124" s="394">
        <v>0</v>
      </c>
      <c r="AJ124" s="394">
        <v>0</v>
      </c>
      <c r="AK124" s="394">
        <v>0</v>
      </c>
      <c r="AL124" s="394">
        <v>0</v>
      </c>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row>
    <row r="125" spans="1:131">
      <c r="A125" s="11"/>
      <c r="B125" s="11" t="s">
        <v>658</v>
      </c>
      <c r="C125" s="394">
        <v>0</v>
      </c>
      <c r="D125" s="394">
        <v>0</v>
      </c>
      <c r="E125" s="394">
        <v>0</v>
      </c>
      <c r="F125" s="394">
        <v>0</v>
      </c>
      <c r="G125" s="394">
        <v>0</v>
      </c>
      <c r="H125" s="394">
        <v>0</v>
      </c>
      <c r="I125" s="394">
        <v>0</v>
      </c>
      <c r="J125" s="394">
        <v>0</v>
      </c>
      <c r="K125" s="394">
        <v>0</v>
      </c>
      <c r="L125" s="395">
        <v>0</v>
      </c>
      <c r="M125" s="394">
        <v>0</v>
      </c>
      <c r="N125" s="394">
        <v>0</v>
      </c>
      <c r="O125" s="394">
        <v>0</v>
      </c>
      <c r="P125" s="394">
        <v>0</v>
      </c>
      <c r="Q125" s="394">
        <v>0</v>
      </c>
      <c r="R125" s="394">
        <v>0</v>
      </c>
      <c r="S125" s="394">
        <v>0</v>
      </c>
      <c r="T125" s="394">
        <v>0</v>
      </c>
      <c r="U125" s="394">
        <v>0</v>
      </c>
      <c r="V125" s="394">
        <v>0</v>
      </c>
      <c r="W125" s="394">
        <v>0</v>
      </c>
      <c r="X125" s="394">
        <v>0</v>
      </c>
      <c r="Y125" s="394">
        <v>0</v>
      </c>
      <c r="Z125" s="394"/>
      <c r="AA125" s="394">
        <v>0</v>
      </c>
      <c r="AB125" s="394">
        <v>0</v>
      </c>
      <c r="AC125" s="394">
        <v>0</v>
      </c>
      <c r="AD125" s="394">
        <v>0</v>
      </c>
      <c r="AE125" s="394">
        <v>0</v>
      </c>
      <c r="AF125" s="394">
        <v>0</v>
      </c>
      <c r="AG125" s="394">
        <v>0</v>
      </c>
      <c r="AH125" s="394">
        <v>0</v>
      </c>
      <c r="AI125" s="394">
        <v>0</v>
      </c>
      <c r="AJ125" s="394">
        <v>0</v>
      </c>
      <c r="AK125" s="394">
        <v>0</v>
      </c>
      <c r="AL125" s="394">
        <v>0</v>
      </c>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row>
    <row r="126" spans="1:131">
      <c r="A126" s="11"/>
      <c r="B126" s="11" t="s">
        <v>659</v>
      </c>
      <c r="C126" s="394">
        <v>0</v>
      </c>
      <c r="D126" s="394">
        <v>0</v>
      </c>
      <c r="E126" s="394">
        <v>0</v>
      </c>
      <c r="F126" s="394">
        <v>0</v>
      </c>
      <c r="G126" s="394">
        <v>0</v>
      </c>
      <c r="H126" s="394">
        <v>0</v>
      </c>
      <c r="I126" s="394">
        <v>0</v>
      </c>
      <c r="J126" s="394">
        <v>0</v>
      </c>
      <c r="K126" s="394">
        <v>0</v>
      </c>
      <c r="L126" s="395">
        <v>0</v>
      </c>
      <c r="M126" s="394">
        <v>0</v>
      </c>
      <c r="N126" s="394">
        <v>0</v>
      </c>
      <c r="O126" s="394">
        <v>0</v>
      </c>
      <c r="P126" s="394">
        <v>0</v>
      </c>
      <c r="Q126" s="394">
        <v>0</v>
      </c>
      <c r="R126" s="394">
        <v>0</v>
      </c>
      <c r="S126" s="394">
        <v>0</v>
      </c>
      <c r="T126" s="394">
        <v>0</v>
      </c>
      <c r="U126" s="394">
        <v>0</v>
      </c>
      <c r="V126" s="394">
        <v>0</v>
      </c>
      <c r="W126" s="394">
        <v>0</v>
      </c>
      <c r="X126" s="394">
        <v>0</v>
      </c>
      <c r="Y126" s="394">
        <v>0</v>
      </c>
      <c r="Z126" s="394"/>
      <c r="AA126" s="394">
        <v>0</v>
      </c>
      <c r="AB126" s="394">
        <v>0</v>
      </c>
      <c r="AC126" s="394">
        <v>0</v>
      </c>
      <c r="AD126" s="394">
        <v>0</v>
      </c>
      <c r="AE126" s="394">
        <v>0</v>
      </c>
      <c r="AF126" s="394">
        <v>0</v>
      </c>
      <c r="AG126" s="394">
        <v>0</v>
      </c>
      <c r="AH126" s="394">
        <v>0</v>
      </c>
      <c r="AI126" s="394">
        <v>0</v>
      </c>
      <c r="AJ126" s="394">
        <v>0</v>
      </c>
      <c r="AK126" s="394">
        <v>0</v>
      </c>
      <c r="AL126" s="394">
        <v>0</v>
      </c>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row>
    <row r="127" spans="1:131">
      <c r="A127" s="11"/>
      <c r="B127" s="11" t="s">
        <v>660</v>
      </c>
      <c r="C127" s="394">
        <v>0</v>
      </c>
      <c r="D127" s="394">
        <v>0</v>
      </c>
      <c r="E127" s="394">
        <v>0</v>
      </c>
      <c r="F127" s="394">
        <v>0</v>
      </c>
      <c r="G127" s="394">
        <v>0</v>
      </c>
      <c r="H127" s="394">
        <v>0</v>
      </c>
      <c r="I127" s="394">
        <v>0</v>
      </c>
      <c r="J127" s="394">
        <v>0</v>
      </c>
      <c r="K127" s="394">
        <v>0</v>
      </c>
      <c r="L127" s="395">
        <v>0</v>
      </c>
      <c r="M127" s="394">
        <v>0</v>
      </c>
      <c r="N127" s="394">
        <v>0</v>
      </c>
      <c r="O127" s="394">
        <v>0</v>
      </c>
      <c r="P127" s="394">
        <v>0</v>
      </c>
      <c r="Q127" s="394">
        <v>0</v>
      </c>
      <c r="R127" s="394">
        <v>0</v>
      </c>
      <c r="S127" s="394">
        <v>0</v>
      </c>
      <c r="T127" s="394">
        <v>0</v>
      </c>
      <c r="U127" s="394">
        <v>0</v>
      </c>
      <c r="V127" s="394">
        <v>0</v>
      </c>
      <c r="W127" s="394">
        <v>0</v>
      </c>
      <c r="X127" s="394">
        <v>0</v>
      </c>
      <c r="Y127" s="394">
        <v>0</v>
      </c>
      <c r="Z127" s="394"/>
      <c r="AA127" s="394">
        <v>0</v>
      </c>
      <c r="AB127" s="394">
        <v>0</v>
      </c>
      <c r="AC127" s="394">
        <v>0</v>
      </c>
      <c r="AD127" s="394">
        <v>0</v>
      </c>
      <c r="AE127" s="394">
        <v>0</v>
      </c>
      <c r="AF127" s="394">
        <v>0</v>
      </c>
      <c r="AG127" s="394">
        <v>0</v>
      </c>
      <c r="AH127" s="394">
        <v>0</v>
      </c>
      <c r="AI127" s="394">
        <v>0</v>
      </c>
      <c r="AJ127" s="394">
        <v>0</v>
      </c>
      <c r="AK127" s="394">
        <v>0</v>
      </c>
      <c r="AL127" s="394">
        <v>0</v>
      </c>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row>
    <row r="128" spans="1:131">
      <c r="A128" s="11"/>
      <c r="B128" s="11" t="s">
        <v>661</v>
      </c>
      <c r="C128" s="394">
        <v>0</v>
      </c>
      <c r="D128" s="394">
        <v>0</v>
      </c>
      <c r="E128" s="394">
        <v>0</v>
      </c>
      <c r="F128" s="394">
        <v>0</v>
      </c>
      <c r="G128" s="394">
        <v>0</v>
      </c>
      <c r="H128" s="394">
        <v>0</v>
      </c>
      <c r="I128" s="394">
        <v>0</v>
      </c>
      <c r="J128" s="394">
        <v>0</v>
      </c>
      <c r="K128" s="394">
        <v>0</v>
      </c>
      <c r="L128" s="395">
        <v>0</v>
      </c>
      <c r="M128" s="394">
        <v>0</v>
      </c>
      <c r="N128" s="394">
        <v>0</v>
      </c>
      <c r="O128" s="394">
        <v>0</v>
      </c>
      <c r="P128" s="394">
        <v>0</v>
      </c>
      <c r="Q128" s="394">
        <v>0</v>
      </c>
      <c r="R128" s="394">
        <v>0</v>
      </c>
      <c r="S128" s="394">
        <v>0</v>
      </c>
      <c r="T128" s="394">
        <v>0</v>
      </c>
      <c r="U128" s="394">
        <v>0</v>
      </c>
      <c r="V128" s="394">
        <v>0</v>
      </c>
      <c r="W128" s="394">
        <v>0</v>
      </c>
      <c r="X128" s="394">
        <v>0</v>
      </c>
      <c r="Y128" s="394">
        <v>0</v>
      </c>
      <c r="Z128" s="394"/>
      <c r="AA128" s="394">
        <v>0</v>
      </c>
      <c r="AB128" s="394">
        <v>0</v>
      </c>
      <c r="AC128" s="394">
        <v>0</v>
      </c>
      <c r="AD128" s="394">
        <v>0</v>
      </c>
      <c r="AE128" s="394">
        <v>0</v>
      </c>
      <c r="AF128" s="394">
        <v>0</v>
      </c>
      <c r="AG128" s="394">
        <v>0</v>
      </c>
      <c r="AH128" s="394">
        <v>0</v>
      </c>
      <c r="AI128" s="394">
        <v>0</v>
      </c>
      <c r="AJ128" s="394">
        <v>0</v>
      </c>
      <c r="AK128" s="394">
        <v>0</v>
      </c>
      <c r="AL128" s="394">
        <v>0</v>
      </c>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row>
    <row r="129" spans="1:131">
      <c r="A129" s="11"/>
      <c r="B129" s="11"/>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row>
    <row r="130" spans="1:131">
      <c r="A130" s="11"/>
      <c r="B130" s="11"/>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row>
    <row r="131" spans="1:131" ht="13.5" thickBot="1">
      <c r="A131" s="368" t="s">
        <v>662</v>
      </c>
      <c r="B131" s="370"/>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row>
    <row r="132" spans="1:131" ht="13.5" thickBot="1">
      <c r="A132" s="396"/>
      <c r="B132" s="397"/>
      <c r="C132" s="398"/>
      <c r="D132" s="398"/>
      <c r="E132" s="398"/>
      <c r="F132" s="398"/>
      <c r="G132" s="398"/>
      <c r="H132" s="398"/>
      <c r="I132" s="398"/>
      <c r="J132" s="398"/>
      <c r="K132" s="398"/>
      <c r="L132" s="398"/>
      <c r="M132" s="398"/>
      <c r="N132" s="398"/>
      <c r="O132" s="399" t="s">
        <v>961</v>
      </c>
      <c r="P132" s="400"/>
      <c r="Q132" s="400"/>
      <c r="R132" s="400"/>
      <c r="S132" s="400"/>
      <c r="T132" s="400"/>
      <c r="U132" s="400"/>
      <c r="V132" s="400"/>
      <c r="W132" s="400"/>
      <c r="X132" s="400"/>
      <c r="Y132" s="400"/>
      <c r="Z132" s="388"/>
      <c r="AA132" s="398"/>
      <c r="AB132" s="399" t="s">
        <v>962</v>
      </c>
      <c r="AC132" s="400"/>
      <c r="AD132" s="400"/>
      <c r="AE132" s="400"/>
      <c r="AF132" s="400"/>
      <c r="AG132" s="400"/>
      <c r="AH132" s="400"/>
      <c r="AI132" s="400"/>
      <c r="AJ132" s="400"/>
      <c r="AK132" s="400"/>
      <c r="AL132" s="400"/>
      <c r="AM132" s="388"/>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row>
    <row r="133" spans="1:131" ht="102">
      <c r="A133" s="379" t="s">
        <v>308</v>
      </c>
      <c r="B133" s="380" t="s">
        <v>309</v>
      </c>
      <c r="C133" s="381" t="s">
        <v>663</v>
      </c>
      <c r="D133" s="381" t="s">
        <v>617</v>
      </c>
      <c r="E133" s="381" t="s">
        <v>618</v>
      </c>
      <c r="F133" s="381" t="s">
        <v>619</v>
      </c>
      <c r="G133" s="381" t="s">
        <v>620</v>
      </c>
      <c r="H133" s="381" t="s">
        <v>621</v>
      </c>
      <c r="I133" s="381" t="s">
        <v>622</v>
      </c>
      <c r="J133" s="381" t="s">
        <v>623</v>
      </c>
      <c r="K133" s="381" t="s">
        <v>372</v>
      </c>
      <c r="L133" s="381" t="s">
        <v>371</v>
      </c>
      <c r="M133" s="381" t="s">
        <v>624</v>
      </c>
      <c r="N133" s="381" t="s">
        <v>963</v>
      </c>
      <c r="O133" s="381" t="s">
        <v>625</v>
      </c>
      <c r="P133" s="381" t="s">
        <v>626</v>
      </c>
      <c r="Q133" s="381" t="s">
        <v>627</v>
      </c>
      <c r="R133" s="381" t="s">
        <v>628</v>
      </c>
      <c r="S133" s="381" t="s">
        <v>629</v>
      </c>
      <c r="T133" s="381" t="s">
        <v>630</v>
      </c>
      <c r="U133" s="381" t="s">
        <v>631</v>
      </c>
      <c r="V133" s="381" t="s">
        <v>632</v>
      </c>
      <c r="W133" s="381" t="s">
        <v>633</v>
      </c>
      <c r="X133" s="381" t="s">
        <v>634</v>
      </c>
      <c r="Y133" s="381" t="s">
        <v>635</v>
      </c>
      <c r="Z133" s="381" t="s">
        <v>636</v>
      </c>
      <c r="AA133" s="381"/>
      <c r="AB133" s="381" t="s">
        <v>625</v>
      </c>
      <c r="AC133" s="381" t="s">
        <v>626</v>
      </c>
      <c r="AD133" s="381" t="s">
        <v>627</v>
      </c>
      <c r="AE133" s="381" t="s">
        <v>628</v>
      </c>
      <c r="AF133" s="381" t="s">
        <v>629</v>
      </c>
      <c r="AG133" s="381" t="s">
        <v>630</v>
      </c>
      <c r="AH133" s="381" t="s">
        <v>631</v>
      </c>
      <c r="AI133" s="381" t="s">
        <v>632</v>
      </c>
      <c r="AJ133" s="381" t="s">
        <v>633</v>
      </c>
      <c r="AK133" s="381" t="s">
        <v>634</v>
      </c>
      <c r="AL133" s="381" t="s">
        <v>635</v>
      </c>
      <c r="AM133" s="381" t="s">
        <v>636</v>
      </c>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row>
    <row r="134" spans="1:131">
      <c r="A134" s="11" t="s">
        <v>664</v>
      </c>
      <c r="B134" s="11"/>
      <c r="C134" s="166">
        <v>345.42828990947618</v>
      </c>
      <c r="D134" s="166">
        <v>-8.5918959509302795</v>
      </c>
      <c r="E134" s="166">
        <v>-1.7183791901860559</v>
      </c>
      <c r="F134" s="166">
        <v>-10.310275141116335</v>
      </c>
      <c r="G134" s="166">
        <v>-12.437107019027177</v>
      </c>
      <c r="H134" s="166">
        <v>249.12640769786555</v>
      </c>
      <c r="I134" s="166">
        <v>-261.46674396543511</v>
      </c>
      <c r="J134" s="166">
        <v>-18.369062264711971</v>
      </c>
      <c r="K134" s="166">
        <v>-20.425767677545362</v>
      </c>
      <c r="L134" s="383">
        <v>9999</v>
      </c>
      <c r="M134" s="166">
        <v>3.2815839422367321</v>
      </c>
      <c r="N134" s="166">
        <v>8.0741428992020942E-2</v>
      </c>
      <c r="O134" s="166">
        <v>14.354238834876915</v>
      </c>
      <c r="P134" s="166">
        <v>10.554999408362274</v>
      </c>
      <c r="Q134" s="166">
        <v>9.7715692128522278</v>
      </c>
      <c r="R134" s="166">
        <v>5.5879331732349788</v>
      </c>
      <c r="S134" s="166">
        <v>4.4884486279455649</v>
      </c>
      <c r="T134" s="166">
        <v>3.4834944677306874</v>
      </c>
      <c r="U134" s="166">
        <v>3.6485018388012316</v>
      </c>
      <c r="V134" s="166">
        <v>5.2980471214421785</v>
      </c>
      <c r="W134" s="166">
        <v>6.6817326782512199</v>
      </c>
      <c r="X134" s="166">
        <v>10.890107921335716</v>
      </c>
      <c r="Y134" s="166">
        <v>12.696281482442966</v>
      </c>
      <c r="Z134" s="166">
        <v>15.061606722201828</v>
      </c>
      <c r="AA134" s="166"/>
      <c r="AB134" s="166">
        <v>23.568835217118238</v>
      </c>
      <c r="AC134" s="166">
        <v>20.388813309884839</v>
      </c>
      <c r="AD134" s="166">
        <v>20.488701404707946</v>
      </c>
      <c r="AE134" s="166">
        <v>19.413583710035187</v>
      </c>
      <c r="AF134" s="166">
        <v>17.878061065201031</v>
      </c>
      <c r="AG134" s="166">
        <v>16.238885800282048</v>
      </c>
      <c r="AH134" s="166">
        <v>17.753253574658729</v>
      </c>
      <c r="AI134" s="166">
        <v>19.186846481024503</v>
      </c>
      <c r="AJ134" s="166">
        <v>20.597972638317124</v>
      </c>
      <c r="AK134" s="166">
        <v>21.320861890906876</v>
      </c>
      <c r="AL134" s="166">
        <v>22.477997305419027</v>
      </c>
      <c r="AM134" s="32">
        <v>23.5975160224428</v>
      </c>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row>
    <row r="135" spans="1:131">
      <c r="A135" s="11" t="s">
        <v>666</v>
      </c>
      <c r="B135" s="11"/>
      <c r="C135" s="166">
        <v>754.1040131826594</v>
      </c>
      <c r="D135" s="166">
        <v>2.0115772129567233</v>
      </c>
      <c r="E135" s="166">
        <v>0.40231544259134466</v>
      </c>
      <c r="F135" s="166">
        <v>2.413892655548068</v>
      </c>
      <c r="G135" s="166">
        <v>2.9118370633748616</v>
      </c>
      <c r="H135" s="166">
        <v>543.86750976294604</v>
      </c>
      <c r="I135" s="166">
        <v>28.040826322295615</v>
      </c>
      <c r="J135" s="166">
        <v>-17.712912269680494</v>
      </c>
      <c r="K135" s="166">
        <v>-17.49234227135976</v>
      </c>
      <c r="L135" s="383">
        <v>186.77813968498486</v>
      </c>
      <c r="M135" s="166">
        <v>7.1640212823477789</v>
      </c>
      <c r="N135" s="166">
        <v>0.1762664999121584</v>
      </c>
      <c r="O135" s="166">
        <v>31.336718583182005</v>
      </c>
      <c r="P135" s="166">
        <v>23.042604342199336</v>
      </c>
      <c r="Q135" s="166">
        <v>21.332298985804162</v>
      </c>
      <c r="R135" s="166">
        <v>12.19900904016087</v>
      </c>
      <c r="S135" s="166">
        <v>9.7987258779093338</v>
      </c>
      <c r="T135" s="166">
        <v>7.6048118661726276</v>
      </c>
      <c r="U135" s="166">
        <v>7.965039225551986</v>
      </c>
      <c r="V135" s="166">
        <v>11.566159208782222</v>
      </c>
      <c r="W135" s="166">
        <v>14.586881198999142</v>
      </c>
      <c r="X135" s="166">
        <v>23.774179264887835</v>
      </c>
      <c r="Y135" s="166">
        <v>27.717234222234651</v>
      </c>
      <c r="Z135" s="166">
        <v>32.880972421708215</v>
      </c>
      <c r="AA135" s="166"/>
      <c r="AB135" s="166">
        <v>51.453090966948281</v>
      </c>
      <c r="AC135" s="166">
        <v>44.510789620171131</v>
      </c>
      <c r="AD135" s="166">
        <v>44.728855179292005</v>
      </c>
      <c r="AE135" s="166">
        <v>42.381767254302176</v>
      </c>
      <c r="AF135" s="166">
        <v>39.029569931072679</v>
      </c>
      <c r="AG135" s="166">
        <v>35.451088718925604</v>
      </c>
      <c r="AH135" s="166">
        <v>38.757102874254976</v>
      </c>
      <c r="AI135" s="166">
        <v>41.886777528997158</v>
      </c>
      <c r="AJ135" s="166">
        <v>44.967405055481052</v>
      </c>
      <c r="AK135" s="166">
        <v>46.545543564655858</v>
      </c>
      <c r="AL135" s="166">
        <v>49.071684258309148</v>
      </c>
      <c r="AM135" s="32">
        <v>51.515703992656817</v>
      </c>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row>
    <row r="136" spans="1:131">
      <c r="A136" s="11" t="s">
        <v>665</v>
      </c>
      <c r="B136" s="11"/>
      <c r="C136" s="166">
        <v>462.19278227324287</v>
      </c>
      <c r="D136" s="166">
        <v>2.0115772129567233</v>
      </c>
      <c r="E136" s="166">
        <v>0.40231544259134466</v>
      </c>
      <c r="F136" s="166">
        <v>2.413892655548068</v>
      </c>
      <c r="G136" s="166">
        <v>2.9118370633748616</v>
      </c>
      <c r="H136" s="166">
        <v>333.33815114503147</v>
      </c>
      <c r="I136" s="166">
        <v>45.750821894271795</v>
      </c>
      <c r="J136" s="166">
        <v>-17.6727737216798</v>
      </c>
      <c r="K136" s="166">
        <v>-17.312896355998582</v>
      </c>
      <c r="L136" s="383">
        <v>114.47692432305526</v>
      </c>
      <c r="M136" s="166">
        <v>4.3908517536970244</v>
      </c>
      <c r="N136" s="166">
        <v>0.10803430639777449</v>
      </c>
      <c r="O136" s="166">
        <v>19.206375905821229</v>
      </c>
      <c r="P136" s="166">
        <v>14.122886532315722</v>
      </c>
      <c r="Q136" s="166">
        <v>13.074634862267068</v>
      </c>
      <c r="R136" s="166">
        <v>7.4768119923566623</v>
      </c>
      <c r="S136" s="166">
        <v>6.0056706993637858</v>
      </c>
      <c r="T136" s="166">
        <v>4.6610137244283845</v>
      </c>
      <c r="U136" s="166">
        <v>4.881798235015733</v>
      </c>
      <c r="V136" s="166">
        <v>7.0889362892536205</v>
      </c>
      <c r="W136" s="166">
        <v>8.9403465413220555</v>
      </c>
      <c r="X136" s="166">
        <v>14.571271162350607</v>
      </c>
      <c r="Y136" s="166">
        <v>16.987982265240593</v>
      </c>
      <c r="Z136" s="166">
        <v>20.152854064917939</v>
      </c>
      <c r="AA136" s="166"/>
      <c r="AB136" s="166">
        <v>31.535765431355397</v>
      </c>
      <c r="AC136" s="166">
        <v>27.280806541395208</v>
      </c>
      <c r="AD136" s="166">
        <v>27.414459626017681</v>
      </c>
      <c r="AE136" s="166">
        <v>25.975921865540045</v>
      </c>
      <c r="AF136" s="166">
        <v>23.92134931259293</v>
      </c>
      <c r="AG136" s="166">
        <v>21.728086634180208</v>
      </c>
      <c r="AH136" s="166">
        <v>23.754353374543371</v>
      </c>
      <c r="AI136" s="166">
        <v>25.67254106615955</v>
      </c>
      <c r="AJ136" s="166">
        <v>27.560667614649677</v>
      </c>
      <c r="AK136" s="166">
        <v>28.5279137976923</v>
      </c>
      <c r="AL136" s="166">
        <v>30.076193577673347</v>
      </c>
      <c r="AM136" s="32">
        <v>31.574141156789665</v>
      </c>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row>
    <row r="137" spans="1:131">
      <c r="A137" s="11" t="s">
        <v>667</v>
      </c>
      <c r="B137" s="11"/>
      <c r="C137" s="166">
        <v>1352.5220365469634</v>
      </c>
      <c r="D137" s="166">
        <v>134.02315442591345</v>
      </c>
      <c r="E137" s="166">
        <v>26.804630885182689</v>
      </c>
      <c r="F137" s="166">
        <v>160.82778531109614</v>
      </c>
      <c r="G137" s="166">
        <v>194.00378265081457</v>
      </c>
      <c r="H137" s="166">
        <v>975.45269492967157</v>
      </c>
      <c r="I137" s="166">
        <v>1041.6476488043402</v>
      </c>
      <c r="J137" s="166">
        <v>-15.415638623694418</v>
      </c>
      <c r="K137" s="166">
        <v>-7.2220063281690328</v>
      </c>
      <c r="L137" s="383">
        <v>5.0280086377768152</v>
      </c>
      <c r="M137" s="166">
        <v>12.849018816081845</v>
      </c>
      <c r="N137" s="166">
        <v>0.3161424966166454</v>
      </c>
      <c r="O137" s="166">
        <v>56.203921071771596</v>
      </c>
      <c r="P137" s="166">
        <v>41.328025852460748</v>
      </c>
      <c r="Q137" s="166">
        <v>38.26051043905521</v>
      </c>
      <c r="R137" s="166">
        <v>21.879512988159497</v>
      </c>
      <c r="S137" s="166">
        <v>17.574488993927709</v>
      </c>
      <c r="T137" s="166">
        <v>13.639598056748326</v>
      </c>
      <c r="U137" s="166">
        <v>14.285683256151303</v>
      </c>
      <c r="V137" s="166">
        <v>20.744466193815857</v>
      </c>
      <c r="W137" s="166">
        <v>26.162277247237174</v>
      </c>
      <c r="X137" s="166">
        <v>42.640140875089152</v>
      </c>
      <c r="Y137" s="166">
        <v>49.712200734072475</v>
      </c>
      <c r="Z137" s="166">
        <v>58.973615053128292</v>
      </c>
      <c r="AA137" s="166"/>
      <c r="AB137" s="166">
        <v>92.283608314913693</v>
      </c>
      <c r="AC137" s="166">
        <v>79.832254931661765</v>
      </c>
      <c r="AD137" s="166">
        <v>80.223366063504372</v>
      </c>
      <c r="AE137" s="166">
        <v>76.013750301264565</v>
      </c>
      <c r="AF137" s="166">
        <v>70.001422198956163</v>
      </c>
      <c r="AG137" s="166">
        <v>63.583242992653673</v>
      </c>
      <c r="AH137" s="166">
        <v>69.512739348663771</v>
      </c>
      <c r="AI137" s="166">
        <v>75.125962277814267</v>
      </c>
      <c r="AJ137" s="166">
        <v>80.651216809185371</v>
      </c>
      <c r="AK137" s="166">
        <v>83.481684586931166</v>
      </c>
      <c r="AL137" s="166">
        <v>88.012440153612545</v>
      </c>
      <c r="AM137" s="32">
        <v>92.395907806184496</v>
      </c>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row>
    <row r="138" spans="1:131">
      <c r="A138" s="11" t="s">
        <v>668</v>
      </c>
      <c r="B138" s="11"/>
      <c r="C138" s="166">
        <v>3303.4620964582305</v>
      </c>
      <c r="D138" s="166">
        <v>532.0694632777404</v>
      </c>
      <c r="E138" s="166">
        <v>106.41389265554808</v>
      </c>
      <c r="F138" s="166">
        <v>638.48335593328852</v>
      </c>
      <c r="G138" s="166">
        <v>770.19145647650839</v>
      </c>
      <c r="H138" s="166">
        <v>2382.490575026065</v>
      </c>
      <c r="I138" s="166">
        <v>1693.1068178358096</v>
      </c>
      <c r="J138" s="166">
        <v>-13.939148975778181</v>
      </c>
      <c r="K138" s="166">
        <v>-0.62111891223650506</v>
      </c>
      <c r="L138" s="383">
        <v>3.0933744525361835</v>
      </c>
      <c r="M138" s="166">
        <v>31.383035165897827</v>
      </c>
      <c r="N138" s="166">
        <v>0.77216098993777771</v>
      </c>
      <c r="O138" s="166">
        <v>137.27504463213276</v>
      </c>
      <c r="P138" s="166">
        <v>100.94147321518288</v>
      </c>
      <c r="Q138" s="166">
        <v>93.449232331361458</v>
      </c>
      <c r="R138" s="166">
        <v>53.439529924317611</v>
      </c>
      <c r="S138" s="166">
        <v>42.924741103873792</v>
      </c>
      <c r="T138" s="166">
        <v>33.313982304072347</v>
      </c>
      <c r="U138" s="166">
        <v>34.892010542901922</v>
      </c>
      <c r="V138" s="166">
        <v>50.667239372665343</v>
      </c>
      <c r="W138" s="166">
        <v>63.899950542712368</v>
      </c>
      <c r="X138" s="166">
        <v>104.1462433603796</v>
      </c>
      <c r="Y138" s="166">
        <v>121.41936797998275</v>
      </c>
      <c r="Z138" s="166">
        <v>144.03987273767663</v>
      </c>
      <c r="AA138" s="166"/>
      <c r="AB138" s="166">
        <v>225.39773397779277</v>
      </c>
      <c r="AC138" s="166">
        <v>194.98597517481414</v>
      </c>
      <c r="AD138" s="166">
        <v>195.9412430112211</v>
      </c>
      <c r="AE138" s="166">
        <v>185.65948364949148</v>
      </c>
      <c r="AF138" s="166">
        <v>170.97469666579579</v>
      </c>
      <c r="AG138" s="166">
        <v>155.29864025903538</v>
      </c>
      <c r="AH138" s="166">
        <v>169.7811151717363</v>
      </c>
      <c r="AI138" s="166">
        <v>183.49110930444562</v>
      </c>
      <c r="AJ138" s="166">
        <v>196.98624537207505</v>
      </c>
      <c r="AK138" s="166">
        <v>203.89951019613758</v>
      </c>
      <c r="AL138" s="166">
        <v>214.96563620252846</v>
      </c>
      <c r="AM138" s="32">
        <v>225.67201942589662</v>
      </c>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row>
    <row r="139" spans="1:131">
      <c r="A139" s="11" t="s">
        <v>671</v>
      </c>
      <c r="B139" s="11"/>
      <c r="C139" s="166">
        <v>754.1040131826594</v>
      </c>
      <c r="D139" s="166">
        <v>162.01157721295672</v>
      </c>
      <c r="E139" s="166">
        <v>32.402315442591345</v>
      </c>
      <c r="F139" s="166">
        <v>194.41389265554807</v>
      </c>
      <c r="G139" s="166">
        <v>234.51812447760847</v>
      </c>
      <c r="H139" s="166">
        <v>543.86750976294604</v>
      </c>
      <c r="I139" s="166">
        <v>2258.3962820657789</v>
      </c>
      <c r="J139" s="166">
        <v>-12.657957334477748</v>
      </c>
      <c r="K139" s="166">
        <v>5.1066569610271282</v>
      </c>
      <c r="L139" s="383">
        <v>2.3190851921335143</v>
      </c>
      <c r="M139" s="166">
        <v>7.1640212823477789</v>
      </c>
      <c r="N139" s="166">
        <v>0.1762664999121584</v>
      </c>
      <c r="O139" s="166">
        <v>31.336718583182005</v>
      </c>
      <c r="P139" s="166">
        <v>23.042604342199336</v>
      </c>
      <c r="Q139" s="166">
        <v>21.332298985804162</v>
      </c>
      <c r="R139" s="166">
        <v>12.19900904016087</v>
      </c>
      <c r="S139" s="166">
        <v>9.7987258779093338</v>
      </c>
      <c r="T139" s="166">
        <v>7.6048118661726276</v>
      </c>
      <c r="U139" s="166">
        <v>7.965039225551986</v>
      </c>
      <c r="V139" s="166">
        <v>11.566159208782222</v>
      </c>
      <c r="W139" s="166">
        <v>14.586881198999142</v>
      </c>
      <c r="X139" s="166">
        <v>23.774179264887835</v>
      </c>
      <c r="Y139" s="166">
        <v>27.717234222234651</v>
      </c>
      <c r="Z139" s="166">
        <v>32.880972421708215</v>
      </c>
      <c r="AA139" s="166"/>
      <c r="AB139" s="166">
        <v>51.453090966948281</v>
      </c>
      <c r="AC139" s="166">
        <v>44.510789620171131</v>
      </c>
      <c r="AD139" s="166">
        <v>44.728855179292005</v>
      </c>
      <c r="AE139" s="166">
        <v>42.381767254302176</v>
      </c>
      <c r="AF139" s="166">
        <v>39.029569931072679</v>
      </c>
      <c r="AG139" s="166">
        <v>35.451088718925604</v>
      </c>
      <c r="AH139" s="166">
        <v>38.757102874254976</v>
      </c>
      <c r="AI139" s="166">
        <v>41.886777528997158</v>
      </c>
      <c r="AJ139" s="166">
        <v>44.967405055481052</v>
      </c>
      <c r="AK139" s="166">
        <v>46.545543564655858</v>
      </c>
      <c r="AL139" s="166">
        <v>49.071684258309148</v>
      </c>
      <c r="AM139" s="32">
        <v>51.515703992656817</v>
      </c>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row>
    <row r="140" spans="1:131">
      <c r="A140" s="11" t="s">
        <v>672</v>
      </c>
      <c r="B140" s="11"/>
      <c r="C140" s="166">
        <v>1352.5220365469634</v>
      </c>
      <c r="D140" s="166">
        <v>324.02315442591345</v>
      </c>
      <c r="E140" s="166">
        <v>64.804630885182689</v>
      </c>
      <c r="F140" s="166">
        <v>388.82778531109614</v>
      </c>
      <c r="G140" s="166">
        <v>469.03624895521693</v>
      </c>
      <c r="H140" s="166">
        <v>975.45269492967157</v>
      </c>
      <c r="I140" s="166">
        <v>2518.3555663323432</v>
      </c>
      <c r="J140" s="166">
        <v>-12.06877659937515</v>
      </c>
      <c r="K140" s="166">
        <v>7.7406853848209352</v>
      </c>
      <c r="L140" s="383">
        <v>2.0796957529455398</v>
      </c>
      <c r="M140" s="166">
        <v>12.849018816081845</v>
      </c>
      <c r="N140" s="166">
        <v>0.3161424966166454</v>
      </c>
      <c r="O140" s="166">
        <v>56.203921071771596</v>
      </c>
      <c r="P140" s="166">
        <v>41.328025852460748</v>
      </c>
      <c r="Q140" s="166">
        <v>38.26051043905521</v>
      </c>
      <c r="R140" s="166">
        <v>21.879512988159497</v>
      </c>
      <c r="S140" s="166">
        <v>17.574488993927709</v>
      </c>
      <c r="T140" s="166">
        <v>13.639598056748326</v>
      </c>
      <c r="U140" s="166">
        <v>14.285683256151303</v>
      </c>
      <c r="V140" s="166">
        <v>20.744466193815857</v>
      </c>
      <c r="W140" s="166">
        <v>26.162277247237174</v>
      </c>
      <c r="X140" s="166">
        <v>42.640140875089152</v>
      </c>
      <c r="Y140" s="166">
        <v>49.712200734072475</v>
      </c>
      <c r="Z140" s="166">
        <v>58.973615053128292</v>
      </c>
      <c r="AA140" s="166"/>
      <c r="AB140" s="166">
        <v>92.283608314913693</v>
      </c>
      <c r="AC140" s="166">
        <v>79.832254931661765</v>
      </c>
      <c r="AD140" s="166">
        <v>80.223366063504372</v>
      </c>
      <c r="AE140" s="166">
        <v>76.013750301264565</v>
      </c>
      <c r="AF140" s="166">
        <v>70.001422198956163</v>
      </c>
      <c r="AG140" s="166">
        <v>63.583242992653673</v>
      </c>
      <c r="AH140" s="166">
        <v>69.512739348663771</v>
      </c>
      <c r="AI140" s="166">
        <v>75.125962277814267</v>
      </c>
      <c r="AJ140" s="166">
        <v>80.651216809185371</v>
      </c>
      <c r="AK140" s="166">
        <v>83.481684586931166</v>
      </c>
      <c r="AL140" s="166">
        <v>88.012440153612545</v>
      </c>
      <c r="AM140" s="32">
        <v>92.395907806184496</v>
      </c>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row>
    <row r="141" spans="1:131">
      <c r="A141" s="11" t="s">
        <v>673</v>
      </c>
      <c r="B141" s="11"/>
      <c r="C141" s="166">
        <v>3303.4620964582305</v>
      </c>
      <c r="D141" s="166">
        <v>972.0694632777404</v>
      </c>
      <c r="E141" s="166">
        <v>194.4138926555481</v>
      </c>
      <c r="F141" s="166">
        <v>1166.4833559332885</v>
      </c>
      <c r="G141" s="166">
        <v>1407.108746865651</v>
      </c>
      <c r="H141" s="166">
        <v>2382.490575026065</v>
      </c>
      <c r="I141" s="166">
        <v>3093.2379121077679</v>
      </c>
      <c r="J141" s="166">
        <v>-10.765843318738163</v>
      </c>
      <c r="K141" s="166">
        <v>13.565660797343634</v>
      </c>
      <c r="L141" s="383">
        <v>1.693181554256618</v>
      </c>
      <c r="M141" s="166">
        <v>31.383035165897827</v>
      </c>
      <c r="N141" s="166">
        <v>0.77216098993777771</v>
      </c>
      <c r="O141" s="166">
        <v>137.27504463213276</v>
      </c>
      <c r="P141" s="166">
        <v>100.94147321518288</v>
      </c>
      <c r="Q141" s="166">
        <v>93.449232331361458</v>
      </c>
      <c r="R141" s="166">
        <v>53.439529924317611</v>
      </c>
      <c r="S141" s="166">
        <v>42.924741103873792</v>
      </c>
      <c r="T141" s="166">
        <v>33.313982304072347</v>
      </c>
      <c r="U141" s="166">
        <v>34.892010542901922</v>
      </c>
      <c r="V141" s="166">
        <v>50.667239372665343</v>
      </c>
      <c r="W141" s="166">
        <v>63.899950542712368</v>
      </c>
      <c r="X141" s="166">
        <v>104.1462433603796</v>
      </c>
      <c r="Y141" s="166">
        <v>121.41936797998275</v>
      </c>
      <c r="Z141" s="166">
        <v>144.03987273767663</v>
      </c>
      <c r="AA141" s="166"/>
      <c r="AB141" s="166">
        <v>225.39773397779277</v>
      </c>
      <c r="AC141" s="166">
        <v>194.98597517481414</v>
      </c>
      <c r="AD141" s="166">
        <v>195.9412430112211</v>
      </c>
      <c r="AE141" s="166">
        <v>185.65948364949148</v>
      </c>
      <c r="AF141" s="166">
        <v>170.97469666579579</v>
      </c>
      <c r="AG141" s="166">
        <v>155.29864025903538</v>
      </c>
      <c r="AH141" s="166">
        <v>169.7811151717363</v>
      </c>
      <c r="AI141" s="166">
        <v>183.49110930444562</v>
      </c>
      <c r="AJ141" s="166">
        <v>196.98624537207505</v>
      </c>
      <c r="AK141" s="166">
        <v>203.89951019613758</v>
      </c>
      <c r="AL141" s="166">
        <v>214.96563620252846</v>
      </c>
      <c r="AM141" s="32">
        <v>225.67201942589662</v>
      </c>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row>
    <row r="142" spans="1:131">
      <c r="A142" s="11" t="s">
        <v>669</v>
      </c>
      <c r="B142" s="11"/>
      <c r="C142" s="166">
        <v>345.42828990947618</v>
      </c>
      <c r="D142" s="166">
        <v>113.40810404906972</v>
      </c>
      <c r="E142" s="166">
        <v>22.681620809813946</v>
      </c>
      <c r="F142" s="166">
        <v>136.08972485888367</v>
      </c>
      <c r="G142" s="166">
        <v>164.16268713432595</v>
      </c>
      <c r="H142" s="166">
        <v>249.12640769786555</v>
      </c>
      <c r="I142" s="166">
        <v>3451.2112197765787</v>
      </c>
      <c r="J142" s="166">
        <v>-9.9545202026799231</v>
      </c>
      <c r="K142" s="166">
        <v>17.192812910873307</v>
      </c>
      <c r="L142" s="383">
        <v>1.5175580519952023</v>
      </c>
      <c r="M142" s="166">
        <v>3.2815839422367321</v>
      </c>
      <c r="N142" s="166">
        <v>8.0741428992020942E-2</v>
      </c>
      <c r="O142" s="166">
        <v>14.354238834876915</v>
      </c>
      <c r="P142" s="166">
        <v>10.554999408362274</v>
      </c>
      <c r="Q142" s="166">
        <v>9.7715692128522278</v>
      </c>
      <c r="R142" s="166">
        <v>5.5879331732349788</v>
      </c>
      <c r="S142" s="166">
        <v>4.4884486279455649</v>
      </c>
      <c r="T142" s="166">
        <v>3.4834944677306874</v>
      </c>
      <c r="U142" s="166">
        <v>3.6485018388012316</v>
      </c>
      <c r="V142" s="166">
        <v>5.2980471214421785</v>
      </c>
      <c r="W142" s="166">
        <v>6.6817326782512199</v>
      </c>
      <c r="X142" s="166">
        <v>10.890107921335716</v>
      </c>
      <c r="Y142" s="166">
        <v>12.696281482442966</v>
      </c>
      <c r="Z142" s="166">
        <v>15.061606722201828</v>
      </c>
      <c r="AA142" s="166"/>
      <c r="AB142" s="166">
        <v>23.568835217118238</v>
      </c>
      <c r="AC142" s="166">
        <v>20.388813309884839</v>
      </c>
      <c r="AD142" s="166">
        <v>20.488701404707946</v>
      </c>
      <c r="AE142" s="166">
        <v>19.413583710035187</v>
      </c>
      <c r="AF142" s="166">
        <v>17.878061065201031</v>
      </c>
      <c r="AG142" s="166">
        <v>16.238885800282048</v>
      </c>
      <c r="AH142" s="166">
        <v>17.753253574658729</v>
      </c>
      <c r="AI142" s="166">
        <v>19.186846481024503</v>
      </c>
      <c r="AJ142" s="166">
        <v>20.597972638317124</v>
      </c>
      <c r="AK142" s="166">
        <v>21.320861890906876</v>
      </c>
      <c r="AL142" s="166">
        <v>22.477997305419027</v>
      </c>
      <c r="AM142" s="32">
        <v>23.5975160224428</v>
      </c>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row>
    <row r="143" spans="1:131">
      <c r="A143" s="11" t="s">
        <v>670</v>
      </c>
      <c r="B143" s="11"/>
      <c r="C143" s="166">
        <v>462.19278227324287</v>
      </c>
      <c r="D143" s="166">
        <v>162.01157721295672</v>
      </c>
      <c r="E143" s="166">
        <v>32.402315442591345</v>
      </c>
      <c r="F143" s="166">
        <v>194.41389265554807</v>
      </c>
      <c r="G143" s="166">
        <v>234.51812447760847</v>
      </c>
      <c r="H143" s="166">
        <v>333.33815114503147</v>
      </c>
      <c r="I143" s="166">
        <v>3684.751828633639</v>
      </c>
      <c r="J143" s="166">
        <v>-9.4252156695068887</v>
      </c>
      <c r="K143" s="166">
        <v>19.559155023158965</v>
      </c>
      <c r="L143" s="383">
        <v>1.4213747951786055</v>
      </c>
      <c r="M143" s="166">
        <v>4.3908517536970244</v>
      </c>
      <c r="N143" s="166">
        <v>0.10803430639777449</v>
      </c>
      <c r="O143" s="166">
        <v>19.206375905821229</v>
      </c>
      <c r="P143" s="166">
        <v>14.122886532315722</v>
      </c>
      <c r="Q143" s="166">
        <v>13.074634862267068</v>
      </c>
      <c r="R143" s="166">
        <v>7.4768119923566623</v>
      </c>
      <c r="S143" s="166">
        <v>6.0056706993637858</v>
      </c>
      <c r="T143" s="166">
        <v>4.6610137244283845</v>
      </c>
      <c r="U143" s="166">
        <v>4.881798235015733</v>
      </c>
      <c r="V143" s="166">
        <v>7.0889362892536205</v>
      </c>
      <c r="W143" s="166">
        <v>8.9403465413220555</v>
      </c>
      <c r="X143" s="166">
        <v>14.571271162350607</v>
      </c>
      <c r="Y143" s="166">
        <v>16.987982265240593</v>
      </c>
      <c r="Z143" s="166">
        <v>20.152854064917939</v>
      </c>
      <c r="AA143" s="166"/>
      <c r="AB143" s="166">
        <v>31.535765431355397</v>
      </c>
      <c r="AC143" s="166">
        <v>27.280806541395208</v>
      </c>
      <c r="AD143" s="166">
        <v>27.414459626017681</v>
      </c>
      <c r="AE143" s="166">
        <v>25.975921865540045</v>
      </c>
      <c r="AF143" s="166">
        <v>23.92134931259293</v>
      </c>
      <c r="AG143" s="166">
        <v>21.728086634180208</v>
      </c>
      <c r="AH143" s="166">
        <v>23.754353374543371</v>
      </c>
      <c r="AI143" s="166">
        <v>25.67254106615955</v>
      </c>
      <c r="AJ143" s="166">
        <v>27.560667614649677</v>
      </c>
      <c r="AK143" s="166">
        <v>28.5279137976923</v>
      </c>
      <c r="AL143" s="166">
        <v>30.076193577673347</v>
      </c>
      <c r="AM143" s="32">
        <v>31.574141156789665</v>
      </c>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row>
    <row r="144" spans="1:131">
      <c r="A144" s="11"/>
      <c r="B144" s="11"/>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row>
  </sheetData>
  <mergeCells count="3">
    <mergeCell ref="I6:N6"/>
    <mergeCell ref="O6:P6"/>
    <mergeCell ref="R6:T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vt:i4>
      </vt:variant>
    </vt:vector>
  </HeadingPairs>
  <TitlesOfParts>
    <vt:vector size="21" baseType="lpstr">
      <vt:lpstr>7PSourceSummary</vt:lpstr>
      <vt:lpstr>SC-New</vt:lpstr>
      <vt:lpstr>SC-NR</vt:lpstr>
      <vt:lpstr>M_Input_Out</vt:lpstr>
      <vt:lpstr>M_Input</vt:lpstr>
      <vt:lpstr>M_Input (WT)</vt:lpstr>
      <vt:lpstr>M_Input(Fixture)</vt:lpstr>
      <vt:lpstr>M_Input (WT)(wo OM)_Out</vt:lpstr>
      <vt:lpstr>M_Input (WT)(wo OM)</vt:lpstr>
      <vt:lpstr>MMap</vt:lpstr>
      <vt:lpstr>Luminaires 7P</vt:lpstr>
      <vt:lpstr>Pricing</vt:lpstr>
      <vt:lpstr>SatPen</vt:lpstr>
      <vt:lpstr>Outdoor Stock</vt:lpstr>
      <vt:lpstr>Performance 7P</vt:lpstr>
      <vt:lpstr>Sources OM</vt:lpstr>
      <vt:lpstr>Life Table</vt:lpstr>
      <vt:lpstr>References</vt:lpstr>
      <vt:lpstr>Sources Stock 6P</vt:lpstr>
      <vt:lpstr>ToDo7P</vt:lpstr>
      <vt:lpstr>WattClass</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 Grist</dc:creator>
  <cp:lastModifiedBy>Charlie Grist</cp:lastModifiedBy>
  <dcterms:created xsi:type="dcterms:W3CDTF">2014-11-01T20:14:00Z</dcterms:created>
  <dcterms:modified xsi:type="dcterms:W3CDTF">2015-01-13T03:47:02Z</dcterms:modified>
</cp:coreProperties>
</file>